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en4you-my.sharepoint.com/personal/rihards_zakrepskis_gren_com/Documents/Documents/Jaunie pieslegumi 2/ES caurules/2024/Iepirkuma dokumenti/"/>
    </mc:Choice>
  </mc:AlternateContent>
  <xr:revisionPtr revIDLastSave="1792" documentId="11_0B7E6B76F609FE4DB00667311680A570A2489E89" xr6:coauthVersionLast="47" xr6:coauthVersionMax="47" xr10:uidLastSave="{E8F75F90-D9C1-4A7B-8B06-18D9A597BAAF}"/>
  <bookViews>
    <workbookView xWindow="28680" yWindow="-120" windowWidth="38640" windowHeight="21120" xr2:uid="{00000000-000D-0000-FFFF-FFFF00000000}"/>
  </bookViews>
  <sheets>
    <sheet name="DH" sheetId="14" r:id="rId1"/>
  </sheets>
  <externalReferences>
    <externalReference r:id="rId2"/>
  </externalReferences>
  <definedNames>
    <definedName name="da">[1]Koef!$G$7</definedName>
    <definedName name="daa">[1]Koef!$H$7</definedName>
    <definedName name="daaa">[1]Koef!$I$7</definedName>
    <definedName name="dir">[1]Koef!$C$18</definedName>
    <definedName name="_xlnm.Print_Area" localSheetId="0">DH!$B$1:$Q$135</definedName>
    <definedName name="_xlnm.Print_Titles" localSheetId="0">DH!$8:$9</definedName>
    <definedName name="fio">[1]Koef!$C$20</definedName>
    <definedName name="fm">[1]Koef!#REF!</definedName>
    <definedName name="kkk">[1]Koef!$D$4</definedName>
    <definedName name="mat">[1]Koef!$D$3</definedName>
    <definedName name="pp">[1]Koef!$D$9</definedName>
    <definedName name="pup">[1]Koef!$C$19</definedName>
    <definedName name="vv">[1]Koef!$D$8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8" i="14" l="1"/>
  <c r="F127" i="14"/>
  <c r="F126" i="14"/>
  <c r="F125" i="14"/>
  <c r="F124" i="14"/>
  <c r="F122" i="14"/>
  <c r="F123" i="14"/>
  <c r="F111" i="14"/>
  <c r="F114" i="14" s="1"/>
  <c r="F72" i="14"/>
  <c r="F74" i="14"/>
  <c r="F80" i="14"/>
  <c r="F81" i="14"/>
  <c r="F83" i="14"/>
  <c r="F84" i="14"/>
  <c r="F86" i="14"/>
  <c r="F87" i="14"/>
  <c r="F88" i="14"/>
  <c r="F92" i="14"/>
  <c r="F97" i="14"/>
  <c r="F98" i="14"/>
  <c r="F99" i="14"/>
  <c r="F101" i="14"/>
  <c r="F103" i="14"/>
  <c r="F104" i="14"/>
  <c r="F107" i="14"/>
  <c r="F24" i="14"/>
  <c r="F25" i="14"/>
  <c r="F26" i="14"/>
  <c r="F27" i="14"/>
  <c r="F30" i="14"/>
  <c r="F32" i="14"/>
  <c r="F33" i="14"/>
  <c r="F36" i="14"/>
  <c r="F37" i="14"/>
  <c r="F38" i="14"/>
  <c r="F39" i="14"/>
  <c r="F40" i="14"/>
  <c r="F41" i="14"/>
  <c r="F42" i="14"/>
  <c r="F44" i="14"/>
  <c r="F46" i="14"/>
  <c r="F48" i="14"/>
  <c r="F50" i="14"/>
  <c r="F54" i="14"/>
  <c r="F56" i="14"/>
  <c r="F57" i="14"/>
  <c r="F58" i="14"/>
  <c r="F59" i="14"/>
  <c r="F61" i="14"/>
  <c r="F62" i="14"/>
  <c r="F63" i="14"/>
  <c r="F65" i="14"/>
  <c r="F70" i="14"/>
  <c r="F71" i="14"/>
  <c r="P126" i="14"/>
  <c r="P47" i="14"/>
  <c r="F47" i="14" s="1"/>
  <c r="P45" i="14"/>
  <c r="P15" i="14"/>
  <c r="P14" i="14"/>
  <c r="P13" i="14"/>
  <c r="P12" i="14"/>
  <c r="O126" i="14"/>
  <c r="O89" i="14"/>
  <c r="F89" i="14" s="1"/>
  <c r="O80" i="14"/>
  <c r="O90" i="14"/>
  <c r="F90" i="14" s="1"/>
  <c r="O81" i="14"/>
  <c r="O77" i="14"/>
  <c r="F77" i="14" s="1"/>
  <c r="O78" i="14"/>
  <c r="F78" i="14" s="1"/>
  <c r="O45" i="14"/>
  <c r="O55" i="14"/>
  <c r="O23" i="14"/>
  <c r="F23" i="14" s="1"/>
  <c r="O22" i="14"/>
  <c r="O15" i="14"/>
  <c r="O13" i="14"/>
  <c r="O12" i="14"/>
  <c r="O14" i="14"/>
  <c r="N110" i="14"/>
  <c r="N126" i="14"/>
  <c r="N111" i="14"/>
  <c r="N109" i="14"/>
  <c r="N100" i="14"/>
  <c r="N94" i="14"/>
  <c r="N93" i="14"/>
  <c r="N85" i="14"/>
  <c r="N84" i="14"/>
  <c r="N15" i="14"/>
  <c r="N14" i="14"/>
  <c r="N13" i="14"/>
  <c r="N12" i="14"/>
  <c r="M126" i="14"/>
  <c r="M100" i="14"/>
  <c r="M94" i="14"/>
  <c r="M85" i="14"/>
  <c r="M28" i="14"/>
  <c r="F28" i="14" s="1"/>
  <c r="M15" i="14"/>
  <c r="M14" i="14"/>
  <c r="M13" i="14"/>
  <c r="M12" i="14"/>
  <c r="K129" i="14"/>
  <c r="F129" i="14" s="1"/>
  <c r="L100" i="14"/>
  <c r="L94" i="14"/>
  <c r="L85" i="14"/>
  <c r="L55" i="14"/>
  <c r="L15" i="14"/>
  <c r="L14" i="14"/>
  <c r="L13" i="14"/>
  <c r="L12" i="14"/>
  <c r="K126" i="14"/>
  <c r="K119" i="14"/>
  <c r="K111" i="14"/>
  <c r="K110" i="14"/>
  <c r="K109" i="14"/>
  <c r="F109" i="14" s="1"/>
  <c r="K100" i="14"/>
  <c r="K96" i="14"/>
  <c r="F96" i="14" s="1"/>
  <c r="K94" i="14"/>
  <c r="F94" i="14" s="1"/>
  <c r="K87" i="14"/>
  <c r="K85" i="14"/>
  <c r="F85" i="14" s="1"/>
  <c r="K55" i="14"/>
  <c r="K52" i="14"/>
  <c r="K29" i="14"/>
  <c r="F29" i="14" s="1"/>
  <c r="K15" i="14"/>
  <c r="K14" i="14"/>
  <c r="K13" i="14"/>
  <c r="K12" i="14"/>
  <c r="J110" i="14"/>
  <c r="H110" i="14"/>
  <c r="G110" i="14"/>
  <c r="F110" i="14" s="1"/>
  <c r="J115" i="14"/>
  <c r="J126" i="14"/>
  <c r="J100" i="14"/>
  <c r="F100" i="14" s="1"/>
  <c r="J93" i="14"/>
  <c r="F93" i="14" s="1"/>
  <c r="J92" i="14"/>
  <c r="J84" i="14"/>
  <c r="J83" i="14"/>
  <c r="J51" i="14"/>
  <c r="F51" i="14" s="1"/>
  <c r="J49" i="14"/>
  <c r="F49" i="14" s="1"/>
  <c r="J34" i="14"/>
  <c r="F34" i="14" s="1"/>
  <c r="J15" i="14"/>
  <c r="J14" i="14"/>
  <c r="J13" i="14"/>
  <c r="J12" i="14"/>
  <c r="I100" i="14"/>
  <c r="I91" i="14"/>
  <c r="F91" i="14" s="1"/>
  <c r="I82" i="14"/>
  <c r="F82" i="14" s="1"/>
  <c r="I53" i="14"/>
  <c r="F53" i="14" s="1"/>
  <c r="I52" i="14"/>
  <c r="I15" i="14"/>
  <c r="I14" i="14"/>
  <c r="I13" i="14"/>
  <c r="I12" i="14"/>
  <c r="H126" i="14"/>
  <c r="H119" i="14"/>
  <c r="F119" i="14" s="1"/>
  <c r="H115" i="14"/>
  <c r="H100" i="14"/>
  <c r="H95" i="14"/>
  <c r="F95" i="14" s="1"/>
  <c r="H86" i="14"/>
  <c r="G87" i="14"/>
  <c r="H55" i="14"/>
  <c r="H15" i="14"/>
  <c r="H14" i="14"/>
  <c r="H13" i="14"/>
  <c r="H12" i="14"/>
  <c r="G100" i="14"/>
  <c r="G96" i="14"/>
  <c r="G94" i="14"/>
  <c r="G85" i="14"/>
  <c r="G105" i="14"/>
  <c r="F105" i="14" s="1"/>
  <c r="G115" i="14"/>
  <c r="F115" i="14" s="1"/>
  <c r="F130" i="14"/>
  <c r="F121" i="14" l="1"/>
  <c r="F120" i="14"/>
  <c r="F117" i="14"/>
  <c r="F116" i="14"/>
  <c r="F118" i="14"/>
  <c r="F45" i="14"/>
  <c r="G55" i="14" l="1"/>
  <c r="F55" i="14" s="1"/>
  <c r="G52" i="14"/>
  <c r="F52" i="14" s="1"/>
  <c r="G15" i="14"/>
  <c r="F15" i="14" s="1"/>
  <c r="G14" i="14"/>
  <c r="F14" i="14" s="1"/>
  <c r="G13" i="14"/>
  <c r="F13" i="14" s="1"/>
  <c r="G12" i="14"/>
  <c r="F12" i="14" s="1"/>
  <c r="K73" i="14" l="1"/>
  <c r="F73" i="14" s="1"/>
  <c r="P18" i="14" l="1"/>
  <c r="F18" i="14" s="1"/>
  <c r="P17" i="14"/>
  <c r="O17" i="14"/>
  <c r="F17" i="14" s="1"/>
  <c r="G68" i="14"/>
  <c r="I68" i="14"/>
  <c r="J68" i="14"/>
  <c r="M68" i="14"/>
  <c r="N68" i="14"/>
  <c r="O68" i="14"/>
  <c r="P68" i="14"/>
  <c r="N21" i="14"/>
  <c r="N20" i="14"/>
  <c r="M20" i="14"/>
  <c r="M66" i="14" s="1"/>
  <c r="L68" i="14"/>
  <c r="L31" i="14"/>
  <c r="F31" i="14" s="1"/>
  <c r="L22" i="14"/>
  <c r="L66" i="14" s="1"/>
  <c r="K64" i="14"/>
  <c r="F64" i="14" s="1"/>
  <c r="K60" i="14"/>
  <c r="F60" i="14" s="1"/>
  <c r="K43" i="14"/>
  <c r="F43" i="14" s="1"/>
  <c r="K35" i="14"/>
  <c r="F35" i="14" s="1"/>
  <c r="K22" i="14"/>
  <c r="K21" i="14"/>
  <c r="J20" i="14"/>
  <c r="J19" i="14"/>
  <c r="F19" i="14" s="1"/>
  <c r="I21" i="14"/>
  <c r="I66" i="14" s="1"/>
  <c r="H22" i="14"/>
  <c r="H66" i="14" s="1"/>
  <c r="G22" i="14"/>
  <c r="F22" i="14" s="1"/>
  <c r="G21" i="14"/>
  <c r="F21" i="14" l="1"/>
  <c r="F20" i="14"/>
  <c r="H68" i="14"/>
  <c r="J66" i="14"/>
  <c r="J67" i="14" s="1"/>
  <c r="J69" i="14" s="1"/>
  <c r="P66" i="14"/>
  <c r="P67" i="14" s="1"/>
  <c r="P69" i="14" s="1"/>
  <c r="O66" i="14"/>
  <c r="O67" i="14" s="1"/>
  <c r="O69" i="14" s="1"/>
  <c r="G66" i="14"/>
  <c r="K66" i="14"/>
  <c r="K67" i="14" s="1"/>
  <c r="K69" i="14" s="1"/>
  <c r="N66" i="14"/>
  <c r="N67" i="14" s="1"/>
  <c r="N69" i="14" s="1"/>
  <c r="K68" i="14"/>
  <c r="L67" i="14"/>
  <c r="L69" i="14" s="1"/>
  <c r="H67" i="14"/>
  <c r="H69" i="14" s="1"/>
  <c r="I67" i="14"/>
  <c r="I69" i="14" s="1"/>
  <c r="M67" i="14"/>
  <c r="M69" i="14" s="1"/>
  <c r="F112" i="14"/>
  <c r="F113" i="14"/>
  <c r="F68" i="14" l="1"/>
  <c r="F66" i="14"/>
  <c r="G67" i="14"/>
  <c r="F67" i="14" s="1"/>
  <c r="G69" i="14" l="1"/>
  <c r="F69" i="14" s="1"/>
  <c r="F11" i="14"/>
</calcChain>
</file>

<file path=xl/sharedStrings.xml><?xml version="1.0" encoding="utf-8"?>
<sst xmlns="http://schemas.openxmlformats.org/spreadsheetml/2006/main" count="268" uniqueCount="156">
  <si>
    <t>Nr.p. k.</t>
  </si>
  <si>
    <t>Kods</t>
  </si>
  <si>
    <t>Būvdarba nosaukums</t>
  </si>
  <si>
    <t>Mērvienība</t>
  </si>
  <si>
    <t>Daudzums</t>
  </si>
  <si>
    <t>kmpl.</t>
  </si>
  <si>
    <t>Zemes rakšana (t.sk.tranšeju sienu stiprināšana un aizbēršana blietējot), ieskaitot izbrīvētās grunts promvešanu līdz atkrītuma poligonam un nepieciešamības gadījumā gruntsūdens līmeņa pazemināšana</t>
  </si>
  <si>
    <r>
      <t>m</t>
    </r>
    <r>
      <rPr>
        <vertAlign val="superscript"/>
        <sz val="8"/>
        <rFont val="Arial"/>
        <family val="2"/>
        <charset val="186"/>
      </rPr>
      <t>3</t>
    </r>
  </si>
  <si>
    <t>Smilts apbēruma ierīkošanu ap cauruļvadu</t>
  </si>
  <si>
    <r>
      <t xml:space="preserve">Tranšeju aizbēršana ar </t>
    </r>
    <r>
      <rPr>
        <b/>
        <i/>
        <sz val="8"/>
        <rFont val="Arial"/>
        <family val="2"/>
        <charset val="186"/>
      </rPr>
      <t>smilti</t>
    </r>
    <r>
      <rPr>
        <sz val="8"/>
        <rFont val="Arial"/>
        <family val="2"/>
        <charset val="186"/>
      </rPr>
      <t xml:space="preserve"> bez māla un akmeņu piejaukuma ar esksvatoru ar sekojošu blietēšanu pa kārtām 0,20m un planēšana ar roku darbu</t>
    </r>
  </si>
  <si>
    <t>m</t>
  </si>
  <si>
    <t>gab.</t>
  </si>
  <si>
    <r>
      <t>m</t>
    </r>
    <r>
      <rPr>
        <vertAlign val="superscript"/>
        <sz val="8"/>
        <rFont val="Arial"/>
        <family val="2"/>
        <charset val="186"/>
      </rPr>
      <t>3</t>
    </r>
    <r>
      <rPr>
        <sz val="11"/>
        <color theme="1"/>
        <rFont val="Calibri"/>
        <family val="2"/>
        <charset val="186"/>
        <scheme val="minor"/>
      </rPr>
      <t/>
    </r>
  </si>
  <si>
    <r>
      <t>m</t>
    </r>
    <r>
      <rPr>
        <vertAlign val="superscript"/>
        <sz val="8"/>
        <rFont val="Arial"/>
        <family val="2"/>
      </rPr>
      <t>2</t>
    </r>
  </si>
  <si>
    <r>
      <rPr>
        <b/>
        <sz val="9"/>
        <color indexed="8"/>
        <rFont val="Arial"/>
        <family val="2"/>
      </rPr>
      <t>Būves nosaukums</t>
    </r>
    <r>
      <rPr>
        <sz val="9"/>
        <color indexed="8"/>
        <rFont val="Arial"/>
        <family val="2"/>
      </rPr>
      <t xml:space="preserve">:  </t>
    </r>
    <r>
      <rPr>
        <sz val="9"/>
        <rFont val="Arial"/>
        <family val="2"/>
      </rPr>
      <t>I.grupas</t>
    </r>
    <r>
      <rPr>
        <sz val="9"/>
        <color indexed="8"/>
        <rFont val="Arial"/>
        <family val="2"/>
      </rPr>
      <t xml:space="preserve"> inženierbūves būvniecība</t>
    </r>
  </si>
  <si>
    <t>Brīdinājuma lentes montāža</t>
  </si>
  <si>
    <t>Avārijas signalizācija sistēmas savienošana, pārbaude un palaišana</t>
  </si>
  <si>
    <t>vietas</t>
  </si>
  <si>
    <t>I. Zemes darbi</t>
  </si>
  <si>
    <t>Būvdarbiem nepieciešamas atļaujas saņemšana, būvlaukuma sagatavošana, būvobjekta nodošana ekspluatācija (t.sk.izpilduzmērijums)</t>
  </si>
  <si>
    <t>II. Cauruļvadu sistēmas montāža</t>
  </si>
  <si>
    <r>
      <t xml:space="preserve">Izolēti cauruļvadu </t>
    </r>
    <r>
      <rPr>
        <b/>
        <sz val="8"/>
        <rFont val="Arial"/>
        <family val="2"/>
      </rPr>
      <t xml:space="preserve">DN50/160 </t>
    </r>
    <r>
      <rPr>
        <sz val="8"/>
        <rFont val="Arial"/>
        <family val="2"/>
      </rPr>
      <t>montāža tranšējā</t>
    </r>
  </si>
  <si>
    <r>
      <t xml:space="preserve">Gala uzmava </t>
    </r>
    <r>
      <rPr>
        <b/>
        <sz val="8"/>
        <rFont val="Arial"/>
        <family val="2"/>
      </rPr>
      <t>DN50/160</t>
    </r>
  </si>
  <si>
    <t xml:space="preserve"> </t>
  </si>
  <si>
    <r>
      <t xml:space="preserve">Elastīgais ievads </t>
    </r>
    <r>
      <rPr>
        <b/>
        <sz val="8"/>
        <rFont val="Arial"/>
        <family val="2"/>
      </rPr>
      <t>DN50/160</t>
    </r>
  </si>
  <si>
    <t>tn.</t>
  </si>
  <si>
    <t>Siltumtrases kanāla galu aizdare ar kieģeļiem</t>
  </si>
  <si>
    <t>V. Labiekārtošanas darbi</t>
  </si>
  <si>
    <t>Cukura 18</t>
  </si>
  <si>
    <t>Kooperatīva 3</t>
  </si>
  <si>
    <t>Kr.Barona 10</t>
  </si>
  <si>
    <t>Mātera 53</t>
  </si>
  <si>
    <t>Meiju c.25</t>
  </si>
  <si>
    <t>Uzvaras 47A</t>
  </si>
  <si>
    <t>Rīgas 55</t>
  </si>
  <si>
    <t>Vecais c.53</t>
  </si>
  <si>
    <t>Dambja 2C</t>
  </si>
  <si>
    <t>#43</t>
  </si>
  <si>
    <t>#46</t>
  </si>
  <si>
    <t>#2</t>
  </si>
  <si>
    <t>#3</t>
  </si>
  <si>
    <t>#4</t>
  </si>
  <si>
    <t>#5</t>
  </si>
  <si>
    <t>#6</t>
  </si>
  <si>
    <t>#7</t>
  </si>
  <si>
    <t>#9</t>
  </si>
  <si>
    <t>#13</t>
  </si>
  <si>
    <r>
      <t xml:space="preserve">Tranšeju aizbēršana ar </t>
    </r>
    <r>
      <rPr>
        <b/>
        <sz val="8"/>
        <rFont val="Arial"/>
        <family val="2"/>
      </rPr>
      <t>grunti</t>
    </r>
    <r>
      <rPr>
        <sz val="8"/>
        <rFont val="Arial"/>
        <family val="2"/>
        <charset val="186"/>
      </rPr>
      <t xml:space="preserve"> bez māla un akmeņu piejaukuma ar esksvatoru ar sekojošu blietēšanu pa kārtām 0,20m un planēšana ar roku darbu</t>
    </r>
  </si>
  <si>
    <r>
      <t xml:space="preserve">Izolēti cauruļvadu </t>
    </r>
    <r>
      <rPr>
        <b/>
        <sz val="8"/>
        <rFont val="Arial"/>
        <family val="2"/>
      </rPr>
      <t xml:space="preserve">DN65/180 </t>
    </r>
    <r>
      <rPr>
        <sz val="8"/>
        <rFont val="Arial"/>
        <family val="2"/>
      </rPr>
      <t>montāža tranšējā</t>
    </r>
  </si>
  <si>
    <r>
      <t xml:space="preserve">Rūpnieciski izolēto vertikāls līkumu </t>
    </r>
    <r>
      <rPr>
        <b/>
        <sz val="8"/>
        <rFont val="Arial"/>
        <family val="2"/>
      </rPr>
      <t xml:space="preserve">DN65/180 </t>
    </r>
    <r>
      <rPr>
        <sz val="8"/>
        <rFont val="Arial"/>
        <family val="2"/>
      </rPr>
      <t>montāža</t>
    </r>
  </si>
  <si>
    <r>
      <t xml:space="preserve">Termonosēdošā savienojumu uzmava </t>
    </r>
    <r>
      <rPr>
        <b/>
        <sz val="8"/>
        <rFont val="Arial"/>
        <family val="2"/>
      </rPr>
      <t xml:space="preserve">DN65/180 </t>
    </r>
    <r>
      <rPr>
        <sz val="8"/>
        <rFont val="Arial"/>
        <family val="2"/>
      </rPr>
      <t>montāža</t>
    </r>
  </si>
  <si>
    <r>
      <t xml:space="preserve">Elastīgais ievads </t>
    </r>
    <r>
      <rPr>
        <b/>
        <sz val="8"/>
        <rFont val="Arial"/>
        <family val="2"/>
      </rPr>
      <t>DN65/180</t>
    </r>
  </si>
  <si>
    <r>
      <t xml:space="preserve">Gala uzmava </t>
    </r>
    <r>
      <rPr>
        <b/>
        <sz val="8"/>
        <rFont val="Arial"/>
        <family val="2"/>
      </rPr>
      <t>DN65/180</t>
    </r>
  </si>
  <si>
    <r>
      <t xml:space="preserve">Termonosēdošā savienojumu uzmava </t>
    </r>
    <r>
      <rPr>
        <b/>
        <sz val="8"/>
        <rFont val="Arial"/>
        <family val="2"/>
      </rPr>
      <t>DN50/160</t>
    </r>
    <r>
      <rPr>
        <sz val="8"/>
        <rFont val="Arial"/>
        <family val="2"/>
        <charset val="186"/>
      </rPr>
      <t xml:space="preserve"> montāža</t>
    </r>
  </si>
  <si>
    <r>
      <t xml:space="preserve">Montēt iemetināmie lodveida krānu </t>
    </r>
    <r>
      <rPr>
        <b/>
        <sz val="8"/>
        <rFont val="Arial"/>
        <family val="2"/>
      </rPr>
      <t>DN32</t>
    </r>
  </si>
  <si>
    <r>
      <t xml:space="preserve">Montēt iemetināmie lodveida krānu </t>
    </r>
    <r>
      <rPr>
        <b/>
        <sz val="8"/>
        <rFont val="Arial"/>
        <family val="2"/>
      </rPr>
      <t xml:space="preserve">DN15 </t>
    </r>
    <r>
      <rPr>
        <sz val="8"/>
        <rFont val="Arial"/>
        <family val="2"/>
      </rPr>
      <t>(atgaisotājs)</t>
    </r>
  </si>
  <si>
    <r>
      <t xml:space="preserve">Montēt iemetināmie lodveida krānu </t>
    </r>
    <r>
      <rPr>
        <b/>
        <sz val="8"/>
        <rFont val="Arial"/>
        <family val="2"/>
      </rPr>
      <t>DN65</t>
    </r>
  </si>
  <si>
    <t>Grants seguma izjaukšana un atjaunošana</t>
  </si>
  <si>
    <t>dolomīta šķembas fr.0/32 (b=10cm)</t>
  </si>
  <si>
    <r>
      <t>m</t>
    </r>
    <r>
      <rPr>
        <vertAlign val="superscript"/>
        <sz val="8"/>
        <rFont val="Arial"/>
        <family val="2"/>
      </rPr>
      <t>3</t>
    </r>
  </si>
  <si>
    <t>dolomīta šķembas fr.0/45 (b=20cm)</t>
  </si>
  <si>
    <t>Zālāja atjaunošana</t>
  </si>
  <si>
    <t>melnzeme (b=15cm)</t>
  </si>
  <si>
    <t>zālaja sēklas, 35 gr/m2</t>
  </si>
  <si>
    <t>kg.</t>
  </si>
  <si>
    <t>Žoga konstrukcijas nojaukšana un atjaunošana (konstrukciju piecizēt uz vietas)</t>
  </si>
  <si>
    <t>Asfalta seguma izjaukšana un atjaunošana (iebrauktuve)</t>
  </si>
  <si>
    <t>asfaltbetons AC11 surf (b=4cm)</t>
  </si>
  <si>
    <t>asfaltbetons AC22 surf (b=6cm)</t>
  </si>
  <si>
    <t>dolomīta šķembas fr.0/45 (b=30cm)</t>
  </si>
  <si>
    <t>Bruģakmens seguma izjaukšana un atjaunošana</t>
  </si>
  <si>
    <t>dolomīta šķembas fr.0/8 (b=4cm)</t>
  </si>
  <si>
    <t>dolomīta šķembas fr.0/45 (b=16cm)</t>
  </si>
  <si>
    <r>
      <t xml:space="preserve">betona bruģakmens (b=6cm), </t>
    </r>
    <r>
      <rPr>
        <b/>
        <sz val="8"/>
        <rFont val="Arial"/>
        <family val="2"/>
      </rPr>
      <t>atjaunot 30%</t>
    </r>
  </si>
  <si>
    <r>
      <rPr>
        <b/>
        <sz val="9"/>
        <rFont val="Arial"/>
        <family val="2"/>
      </rPr>
      <t>Pasūtītājs</t>
    </r>
    <r>
      <rPr>
        <sz val="9"/>
        <rFont val="Arial"/>
        <family val="2"/>
      </rPr>
      <t xml:space="preserve">:  </t>
    </r>
    <r>
      <rPr>
        <b/>
        <sz val="9"/>
        <rFont val="Arial"/>
        <family val="2"/>
      </rPr>
      <t>SIA ″Gren Jelgava″</t>
    </r>
    <r>
      <rPr>
        <sz val="9"/>
        <rFont val="Arial"/>
        <family val="2"/>
      </rPr>
      <t>, vienotais reģistrācijas Nr.5000354231</t>
    </r>
  </si>
  <si>
    <r>
      <t xml:space="preserve">Izolēti cauruļvadu </t>
    </r>
    <r>
      <rPr>
        <b/>
        <sz val="8"/>
        <rFont val="Arial"/>
        <family val="2"/>
      </rPr>
      <t xml:space="preserve">DN32/140 </t>
    </r>
    <r>
      <rPr>
        <sz val="8"/>
        <rFont val="Arial"/>
        <family val="2"/>
      </rPr>
      <t>montāža tranšējā</t>
    </r>
  </si>
  <si>
    <r>
      <t xml:space="preserve">Rūpnieciski izolēto vertikāls līkumu </t>
    </r>
    <r>
      <rPr>
        <b/>
        <sz val="8"/>
        <rFont val="Arial"/>
        <family val="2"/>
      </rPr>
      <t xml:space="preserve">DN32/140 </t>
    </r>
    <r>
      <rPr>
        <sz val="8"/>
        <rFont val="Arial"/>
        <family val="2"/>
      </rPr>
      <t>montāža</t>
    </r>
  </si>
  <si>
    <r>
      <t xml:space="preserve">T-veida gabalu montāža </t>
    </r>
    <r>
      <rPr>
        <b/>
        <sz val="8"/>
        <rFont val="Arial"/>
        <family val="2"/>
      </rPr>
      <t>DN50/160-DN32/140</t>
    </r>
  </si>
  <si>
    <r>
      <t xml:space="preserve">Termonosēdošā savienojumu uzmava </t>
    </r>
    <r>
      <rPr>
        <b/>
        <sz val="8"/>
        <rFont val="Arial"/>
        <family val="2"/>
      </rPr>
      <t>DN32/140</t>
    </r>
    <r>
      <rPr>
        <sz val="8"/>
        <rFont val="Arial"/>
        <family val="2"/>
        <charset val="186"/>
      </rPr>
      <t xml:space="preserve"> montāža</t>
    </r>
  </si>
  <si>
    <r>
      <t xml:space="preserve">Elastīgais ievads </t>
    </r>
    <r>
      <rPr>
        <b/>
        <sz val="8"/>
        <rFont val="Arial"/>
        <family val="2"/>
      </rPr>
      <t>DN32/140</t>
    </r>
  </si>
  <si>
    <r>
      <t xml:space="preserve">Gala uzmava </t>
    </r>
    <r>
      <rPr>
        <b/>
        <sz val="8"/>
        <rFont val="Arial"/>
        <family val="2"/>
      </rPr>
      <t>DN32/140</t>
    </r>
  </si>
  <si>
    <r>
      <rPr>
        <b/>
        <sz val="9"/>
        <color indexed="8"/>
        <rFont val="Arial"/>
        <family val="2"/>
      </rPr>
      <t>Projekta nosaukums</t>
    </r>
    <r>
      <rPr>
        <sz val="9"/>
        <color indexed="8"/>
        <rFont val="Arial"/>
        <family val="2"/>
      </rPr>
      <t>: Efektivitātes paaugstināšana centralizētajā siltumapgādes sistēmā, Jelgavā</t>
    </r>
  </si>
  <si>
    <t>BŪVDARBU APJOMU SARAKSTS</t>
  </si>
  <si>
    <r>
      <t xml:space="preserve">Izolēti cauruļvadu </t>
    </r>
    <r>
      <rPr>
        <b/>
        <sz val="8"/>
        <rFont val="Arial"/>
        <family val="2"/>
      </rPr>
      <t xml:space="preserve">DN80/200 </t>
    </r>
    <r>
      <rPr>
        <sz val="8"/>
        <rFont val="Arial"/>
        <family val="2"/>
      </rPr>
      <t>montāža tranšējā</t>
    </r>
  </si>
  <si>
    <r>
      <t xml:space="preserve">Termonosēdošā savienojumu uzmava </t>
    </r>
    <r>
      <rPr>
        <b/>
        <sz val="8"/>
        <rFont val="Arial"/>
        <family val="2"/>
      </rPr>
      <t xml:space="preserve">DN80/200 </t>
    </r>
    <r>
      <rPr>
        <sz val="8"/>
        <rFont val="Arial"/>
        <family val="2"/>
      </rPr>
      <t>montāža</t>
    </r>
  </si>
  <si>
    <r>
      <t xml:space="preserve">Elastīgais ievads </t>
    </r>
    <r>
      <rPr>
        <b/>
        <sz val="8"/>
        <rFont val="Arial"/>
        <family val="2"/>
      </rPr>
      <t>DN80/200</t>
    </r>
  </si>
  <si>
    <r>
      <t xml:space="preserve">Gala uzmava </t>
    </r>
    <r>
      <rPr>
        <b/>
        <sz val="8"/>
        <rFont val="Arial"/>
        <family val="2"/>
      </rPr>
      <t>DN80/200</t>
    </r>
  </si>
  <si>
    <r>
      <t xml:space="preserve">Izolēti cauruļvadu </t>
    </r>
    <r>
      <rPr>
        <b/>
        <sz val="8"/>
        <rFont val="Arial"/>
        <family val="2"/>
      </rPr>
      <t xml:space="preserve">DN100/250 </t>
    </r>
    <r>
      <rPr>
        <sz val="8"/>
        <rFont val="Arial"/>
        <family val="2"/>
      </rPr>
      <t>montāža tranšējā</t>
    </r>
  </si>
  <si>
    <r>
      <t xml:space="preserve">Termonosēdošā savienojumu uzmava </t>
    </r>
    <r>
      <rPr>
        <b/>
        <sz val="8"/>
        <rFont val="Arial"/>
        <family val="2"/>
      </rPr>
      <t xml:space="preserve">DN100/250 </t>
    </r>
    <r>
      <rPr>
        <sz val="8"/>
        <rFont val="Arial"/>
        <family val="2"/>
      </rPr>
      <t>montāža</t>
    </r>
  </si>
  <si>
    <r>
      <t xml:space="preserve">Izolēti cauruļvadu </t>
    </r>
    <r>
      <rPr>
        <b/>
        <sz val="8"/>
        <rFont val="Arial"/>
        <family val="2"/>
      </rPr>
      <t xml:space="preserve">DN150/315 </t>
    </r>
    <r>
      <rPr>
        <sz val="8"/>
        <rFont val="Arial"/>
        <family val="2"/>
      </rPr>
      <t>montāža tranšējā</t>
    </r>
  </si>
  <si>
    <r>
      <t xml:space="preserve">Termonosēdošā savienojumu uzmava </t>
    </r>
    <r>
      <rPr>
        <b/>
        <sz val="8"/>
        <rFont val="Arial"/>
        <family val="2"/>
      </rPr>
      <t xml:space="preserve">DN150/315 </t>
    </r>
    <r>
      <rPr>
        <sz val="8"/>
        <rFont val="Arial"/>
        <family val="2"/>
      </rPr>
      <t>montāža</t>
    </r>
  </si>
  <si>
    <r>
      <t xml:space="preserve">Rūpnieciski izolēto vārstu </t>
    </r>
    <r>
      <rPr>
        <b/>
        <sz val="8"/>
        <rFont val="Arial"/>
        <family val="2"/>
      </rPr>
      <t xml:space="preserve">DN32/140 </t>
    </r>
    <r>
      <rPr>
        <sz val="8"/>
        <rFont val="Arial"/>
        <family val="2"/>
      </rPr>
      <t>montāža</t>
    </r>
  </si>
  <si>
    <t>Cauruļvadu metināto savienojumu testēšana (radiografiska-0%, ultraskaņas-100%; vizuālā- 100% no kopēja savienojuma skaita)</t>
  </si>
  <si>
    <t>Cauruļvadu metināto savienojumu testēšana (hidrauliska- 100% no kopēja savienojuma skaita) un cauruļvadu skalošana</t>
  </si>
  <si>
    <r>
      <t xml:space="preserve">Rūpnieciski izolēto vārstu </t>
    </r>
    <r>
      <rPr>
        <b/>
        <sz val="8"/>
        <rFont val="Arial"/>
        <family val="2"/>
      </rPr>
      <t xml:space="preserve">DN150/3150 </t>
    </r>
    <r>
      <rPr>
        <sz val="8"/>
        <rFont val="Arial"/>
        <family val="2"/>
      </rPr>
      <t>montāža</t>
    </r>
  </si>
  <si>
    <r>
      <t xml:space="preserve">Rūpnieciski izolēto vārstu </t>
    </r>
    <r>
      <rPr>
        <b/>
        <sz val="8"/>
        <rFont val="Arial"/>
        <family val="2"/>
      </rPr>
      <t xml:space="preserve">DN100/250 </t>
    </r>
    <r>
      <rPr>
        <sz val="8"/>
        <rFont val="Arial"/>
        <family val="2"/>
      </rPr>
      <t>montāža</t>
    </r>
  </si>
  <si>
    <r>
      <t xml:space="preserve">T-veida gabalu montāža </t>
    </r>
    <r>
      <rPr>
        <b/>
        <sz val="8"/>
        <rFont val="Arial"/>
        <family val="2"/>
      </rPr>
      <t>DN150/315-DN100/250</t>
    </r>
  </si>
  <si>
    <t>Piezīmes</t>
  </si>
  <si>
    <t xml:space="preserve">Sagatavoja: </t>
  </si>
  <si>
    <t>Nameja  2D</t>
  </si>
  <si>
    <r>
      <rPr>
        <b/>
        <sz val="9"/>
        <color indexed="8"/>
        <rFont val="Arial"/>
        <family val="2"/>
      </rPr>
      <t>Objekts:</t>
    </r>
    <r>
      <rPr>
        <sz val="9"/>
        <color indexed="8"/>
        <rFont val="Arial"/>
        <family val="2"/>
      </rPr>
      <t xml:space="preserve"> Virszemes un pazemes siltumtrases pārbūve / rekonstrukcija / optimizācija </t>
    </r>
    <r>
      <rPr>
        <b/>
        <sz val="9"/>
        <color rgb="FF000000"/>
        <rFont val="Arial"/>
        <family val="2"/>
      </rPr>
      <t>(4.daļa)</t>
    </r>
  </si>
  <si>
    <r>
      <t xml:space="preserve">Termonosēdošā savienojumu uzmava </t>
    </r>
    <r>
      <rPr>
        <b/>
        <sz val="8"/>
        <rFont val="Arial"/>
        <family val="2"/>
      </rPr>
      <t>DN40/125</t>
    </r>
    <r>
      <rPr>
        <sz val="8"/>
        <rFont val="Arial"/>
        <family val="2"/>
        <charset val="186"/>
      </rPr>
      <t xml:space="preserve"> montāža</t>
    </r>
  </si>
  <si>
    <r>
      <t xml:space="preserve">Izolētas pārejas </t>
    </r>
    <r>
      <rPr>
        <b/>
        <sz val="8"/>
        <rFont val="Arial"/>
        <family val="2"/>
      </rPr>
      <t xml:space="preserve">DN50/160-DN40/125 </t>
    </r>
    <r>
      <rPr>
        <sz val="8"/>
        <rFont val="Arial"/>
        <family val="2"/>
      </rPr>
      <t>montāža</t>
    </r>
  </si>
  <si>
    <r>
      <t xml:space="preserve">Cauruļvadu pieslēgums ēkas sistēmai </t>
    </r>
    <r>
      <rPr>
        <b/>
        <sz val="8"/>
        <rFont val="Arial"/>
        <family val="2"/>
      </rPr>
      <t>DN32</t>
    </r>
    <r>
      <rPr>
        <sz val="8"/>
        <rFont val="Arial"/>
        <family val="2"/>
      </rPr>
      <t xml:space="preserve"> (t.sk.posmā izbūvē ap 15 m līdz ISP, posma PAROC AluCoatT b=50 mm siltumizolācijas čaulas montāža)</t>
    </r>
  </si>
  <si>
    <t>III. Demontāžas darbi</t>
  </si>
  <si>
    <t xml:space="preserve">Demontēt rūpnieciski izolētus cauruļvadus (t.sk. cauruļvadu sagriešana gabalos līdz 8-10 m, aizviešana Pasūtītāja noradītā vietā katlu mājas Ganību ielā 71 teritorijā) </t>
  </si>
  <si>
    <t>Demontēt cauruļvadus un cauruļvadu sastāvdaļas (t.sk.demontēto siltumtrašu cauruļvadus, cauruļvadu sastāvdaļus un metāla saturošos elementus demontāža un nogādāšana Pasūtītāja noradītā vietā katlu mājas Ganību ielā 71 teritorijā)</t>
  </si>
  <si>
    <t>DN150</t>
  </si>
  <si>
    <t>Siltumizolācijas demontāža, savakšana konteineros un nodošana poligona</t>
  </si>
  <si>
    <t>Siltumtrases dzelzsbetona kanalu demontāža</t>
  </si>
  <si>
    <r>
      <t xml:space="preserve">Siltumtrases drenažas akas konstrukcijas demontāža līdz 0,8m, aizberšana ar grunti un vadu </t>
    </r>
    <r>
      <rPr>
        <b/>
        <sz val="8"/>
        <rFont val="Arial"/>
        <family val="2"/>
      </rPr>
      <t>DN150</t>
    </r>
    <r>
      <rPr>
        <sz val="8"/>
        <rFont val="Arial"/>
        <family val="2"/>
        <charset val="186"/>
      </rPr>
      <t xml:space="preserve"> tamponešana</t>
    </r>
  </si>
  <si>
    <t>Šķiroti būvniecības atkritumi savakšana konteineros un nodošana poligona</t>
  </si>
  <si>
    <t>IV. Celtniecības darbi</t>
  </si>
  <si>
    <t>Noslēgvārsta kapes uzstādīšana (zālāja zonā)</t>
  </si>
  <si>
    <t>Siltumtrases kanāla caurumu aizdare ēkas sienā</t>
  </si>
  <si>
    <t>Siltumtrases galu tamponešana vai aizmetināšana</t>
  </si>
  <si>
    <t>SIA "Gren Jelgava" inženiere J.Grohovska</t>
  </si>
  <si>
    <t>Esošo koku likvidēšana, t.sk.celmu izrakšana</t>
  </si>
  <si>
    <t>Esošo krūmu likvidēšana, t.sk.celmu izrakšana</t>
  </si>
  <si>
    <t>Ielu apmaļu nojaukšana un atjaunošana    (tipu precizēt uz vietas)</t>
  </si>
  <si>
    <t>DN50</t>
  </si>
  <si>
    <t>DN32</t>
  </si>
  <si>
    <r>
      <t xml:space="preserve">Rūpnieciski izolēto līkumu </t>
    </r>
    <r>
      <rPr>
        <b/>
        <sz val="8"/>
        <rFont val="Arial"/>
        <family val="2"/>
      </rPr>
      <t>DN32/140-90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</si>
  <si>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Rūpnieciski izolēto līkumu </t>
    </r>
    <r>
      <rPr>
        <b/>
        <sz val="8"/>
        <rFont val="Arial"/>
        <family val="2"/>
      </rPr>
      <t>DN32/140-85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</si>
  <si>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t>DN40</t>
  </si>
  <si>
    <t>Siltumtrases dzelzsbetona kameras vakā demontāža un kameras aizbēršana</t>
  </si>
  <si>
    <t>Betona plātnes seguma izjaukšana un atjaunošana</t>
  </si>
  <si>
    <r>
      <t xml:space="preserve">betona plātnes (b=10cm), </t>
    </r>
    <r>
      <rPr>
        <b/>
        <sz val="8"/>
        <rFont val="Arial"/>
        <family val="2"/>
      </rPr>
      <t>atjaunot 30%</t>
    </r>
  </si>
  <si>
    <r>
      <t xml:space="preserve">Rūpnieciski izolēto līkumu </t>
    </r>
    <r>
      <rPr>
        <b/>
        <sz val="8"/>
        <rFont val="Arial"/>
        <family val="2"/>
      </rPr>
      <t>DN50/160-80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</si>
  <si>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Termonosēdošā savienojumu uzmava-pareja  </t>
    </r>
    <r>
      <rPr>
        <b/>
        <sz val="8"/>
        <rFont val="Arial"/>
        <family val="2"/>
      </rPr>
      <t>DN50/160-140</t>
    </r>
  </si>
  <si>
    <t>DN100</t>
  </si>
  <si>
    <r>
      <t xml:space="preserve">Rūpnieciski izolēto līkumu </t>
    </r>
    <r>
      <rPr>
        <b/>
        <sz val="8"/>
        <rFont val="Arial"/>
        <family val="2"/>
      </rPr>
      <t>DN80/200-90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</si>
  <si>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Rūpnieciski izolēto līkumu </t>
    </r>
    <r>
      <rPr>
        <b/>
        <sz val="8"/>
        <rFont val="Arial"/>
        <family val="2"/>
      </rPr>
      <t>DN65/180-90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</si>
  <si>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Rūpnieciski izolēto vertikāls līkumu </t>
    </r>
    <r>
      <rPr>
        <b/>
        <sz val="8"/>
        <rFont val="Arial"/>
        <family val="2"/>
      </rPr>
      <t xml:space="preserve">DN80/200 </t>
    </r>
    <r>
      <rPr>
        <sz val="8"/>
        <rFont val="Arial"/>
        <family val="2"/>
      </rPr>
      <t>montāža</t>
    </r>
  </si>
  <si>
    <r>
      <t xml:space="preserve">Termonosēdošā savienojumu uzmava-pāreja </t>
    </r>
    <r>
      <rPr>
        <b/>
        <sz val="8"/>
        <rFont val="Arial"/>
        <family val="2"/>
      </rPr>
      <t>DN80/200-160</t>
    </r>
  </si>
  <si>
    <t>DN80</t>
  </si>
  <si>
    <t>DN65</t>
  </si>
  <si>
    <r>
      <t xml:space="preserve">Rūpnieciski izolēto līkumu </t>
    </r>
    <r>
      <rPr>
        <b/>
        <sz val="8"/>
        <rFont val="Arial"/>
        <family val="2"/>
      </rPr>
      <t>DN50/160-90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</si>
  <si>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Gala noslēgs </t>
    </r>
    <r>
      <rPr>
        <b/>
        <sz val="8"/>
        <rFont val="Arial"/>
        <family val="2"/>
      </rPr>
      <t>DN50/160</t>
    </r>
    <r>
      <rPr>
        <sz val="8"/>
        <rFont val="Arial"/>
        <family val="2"/>
        <charset val="186"/>
      </rPr>
      <t xml:space="preserve"> ar izolāciju</t>
    </r>
  </si>
  <si>
    <t>Ēkas betona apmales nojaukšana un atjaunošana</t>
  </si>
  <si>
    <r>
      <t xml:space="preserve">Termonosēdošā savienojumu uzmava-pāreja  </t>
    </r>
    <r>
      <rPr>
        <b/>
        <sz val="8"/>
        <rFont val="Arial"/>
        <family val="2"/>
      </rPr>
      <t>DN32/140-125</t>
    </r>
  </si>
  <si>
    <r>
      <t xml:space="preserve">Rūpnieciski izolēto līkumu </t>
    </r>
    <r>
      <rPr>
        <b/>
        <sz val="8"/>
        <rFont val="Arial"/>
        <family val="2"/>
      </rPr>
      <t>DN65/180-60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</si>
  <si>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Cauruļvadu pieslēgums ēkas sistēmai </t>
    </r>
    <r>
      <rPr>
        <b/>
        <sz val="8"/>
        <rFont val="Arial"/>
        <family val="2"/>
      </rPr>
      <t>DN65</t>
    </r>
    <r>
      <rPr>
        <sz val="8"/>
        <rFont val="Arial"/>
        <family val="2"/>
      </rPr>
      <t xml:space="preserve"> (t.sk.posmā izbūvē ap 20 m līdz ISP, posma PAROC AluCoatT b=50 mm siltumizolācijas čaulas montāža)</t>
    </r>
  </si>
  <si>
    <r>
      <t xml:space="preserve">Rūpnieciski izolēto līkumu </t>
    </r>
    <r>
      <rPr>
        <b/>
        <sz val="8"/>
        <rFont val="Arial"/>
        <family val="2"/>
      </rPr>
      <t>DN150/315-90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</si>
  <si>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Rūpnieciski izolēto līkumu </t>
    </r>
    <r>
      <rPr>
        <b/>
        <sz val="8"/>
        <rFont val="Arial"/>
        <family val="2"/>
      </rPr>
      <t>DN150/315-20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</si>
  <si>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Izolētas pārejas </t>
    </r>
    <r>
      <rPr>
        <b/>
        <sz val="8"/>
        <rFont val="Arial"/>
        <family val="2"/>
      </rPr>
      <t xml:space="preserve">DN200/315-DN150/315 </t>
    </r>
    <r>
      <rPr>
        <sz val="8"/>
        <rFont val="Arial"/>
        <family val="2"/>
      </rPr>
      <t>montāža</t>
    </r>
  </si>
  <si>
    <r>
      <t xml:space="preserve">T-veida gabalu montāža </t>
    </r>
    <r>
      <rPr>
        <b/>
        <sz val="8"/>
        <rFont val="Arial"/>
        <family val="2"/>
      </rPr>
      <t>DN150/315-DN32/140</t>
    </r>
  </si>
  <si>
    <r>
      <t xml:space="preserve">Termonosēdošā savienojumu uzmava-pāreja </t>
    </r>
    <r>
      <rPr>
        <b/>
        <sz val="8"/>
        <rFont val="Arial"/>
        <family val="2"/>
      </rPr>
      <t>DN150/315-250</t>
    </r>
  </si>
  <si>
    <r>
      <t xml:space="preserve">Termonosēdošā savienojumu uzmava </t>
    </r>
    <r>
      <rPr>
        <b/>
        <sz val="8"/>
        <rFont val="Arial"/>
        <family val="2"/>
      </rPr>
      <t xml:space="preserve">DN200/315 </t>
    </r>
    <r>
      <rPr>
        <sz val="8"/>
        <rFont val="Arial"/>
        <family val="2"/>
      </rPr>
      <t>montāža</t>
    </r>
  </si>
  <si>
    <t>DN150/225</t>
  </si>
  <si>
    <t>DN200/315</t>
  </si>
  <si>
    <t>DN200</t>
  </si>
  <si>
    <r>
      <t xml:space="preserve">Rūpnieciski izolēto līkumu </t>
    </r>
    <r>
      <rPr>
        <b/>
        <sz val="8"/>
        <rFont val="Arial"/>
        <family val="2"/>
      </rPr>
      <t>DN100/250-90</t>
    </r>
    <r>
      <rPr>
        <b/>
        <vertAlign val="superscript"/>
        <sz val="8"/>
        <rFont val="Arial"/>
        <family val="2"/>
      </rPr>
      <t>0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montāža</t>
    </r>
  </si>
  <si>
    <r>
      <t xml:space="preserve">Termonosēdošā savienojumu uzmava-pāreja </t>
    </r>
    <r>
      <rPr>
        <b/>
        <sz val="8"/>
        <rFont val="Arial"/>
        <family val="2"/>
      </rPr>
      <t>DN100/250-200</t>
    </r>
  </si>
  <si>
    <t>DN150/250</t>
  </si>
  <si>
    <t>3.pielikums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</si>
</sst>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_-;\-* #,##0_-;_-* &quot;-&quot;??_-;_-@_-"/>
    <numFmt numFmtId="167" formatCode="_-* #,##0.0_-;\-* #,##0.0_-;_-* &quot;-&quot;??_-;_-@_-"/>
    <numFmt numFmtId="168" formatCode="[$-426]General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i/>
      <sz val="8"/>
      <name val="Arial"/>
      <family val="2"/>
      <charset val="186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  <charset val="186"/>
    </font>
    <font>
      <sz val="8"/>
      <name val="Arial"/>
      <family val="2"/>
    </font>
    <font>
      <b/>
      <sz val="8"/>
      <color indexed="16"/>
      <name val="Arial"/>
      <family val="2"/>
      <charset val="186"/>
    </font>
    <font>
      <sz val="10"/>
      <name val="Helv"/>
    </font>
    <font>
      <sz val="9"/>
      <color indexed="8"/>
      <name val="Calibri"/>
      <family val="2"/>
      <charset val="186"/>
    </font>
    <font>
      <vertAlign val="superscript"/>
      <sz val="8"/>
      <name val="Arial"/>
      <family val="2"/>
      <charset val="186"/>
    </font>
    <font>
      <sz val="8"/>
      <color indexed="16"/>
      <name val="Arial"/>
      <family val="2"/>
      <charset val="186"/>
    </font>
    <font>
      <sz val="8"/>
      <color indexed="10"/>
      <name val="Arial"/>
      <family val="2"/>
      <charset val="186"/>
    </font>
    <font>
      <b/>
      <sz val="8"/>
      <name val="Arial"/>
      <family val="2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11"/>
      <color theme="0"/>
      <name val="Arial"/>
      <family val="2"/>
      <charset val="186"/>
    </font>
    <font>
      <sz val="11"/>
      <color indexed="8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6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sz val="9"/>
      <color rgb="FF000000"/>
      <name val="Calibri"/>
      <family val="2"/>
      <charset val="186"/>
    </font>
    <font>
      <sz val="8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vertAlign val="superscript"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8" fillId="0" borderId="0"/>
    <xf numFmtId="164" fontId="2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9" fillId="2" borderId="0" applyNumberFormat="0" applyBorder="0" applyAlignment="0" applyProtection="0"/>
    <xf numFmtId="0" fontId="2" fillId="0" borderId="0"/>
    <xf numFmtId="0" fontId="20" fillId="0" borderId="0"/>
    <xf numFmtId="0" fontId="1" fillId="0" borderId="0"/>
    <xf numFmtId="0" fontId="2" fillId="0" borderId="0"/>
    <xf numFmtId="0" fontId="8" fillId="0" borderId="0"/>
    <xf numFmtId="0" fontId="25" fillId="0" borderId="0"/>
    <xf numFmtId="168" fontId="26" fillId="0" borderId="0" applyBorder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3" fillId="3" borderId="0" xfId="1" applyFont="1" applyFill="1"/>
    <xf numFmtId="0" fontId="3" fillId="0" borderId="0" xfId="1" applyFont="1"/>
    <xf numFmtId="0" fontId="4" fillId="0" borderId="0" xfId="1" applyFont="1"/>
    <xf numFmtId="0" fontId="5" fillId="3" borderId="0" xfId="1" applyFont="1" applyFill="1" applyAlignment="1">
      <alignment horizontal="center"/>
    </xf>
    <xf numFmtId="0" fontId="4" fillId="4" borderId="1" xfId="1" applyFont="1" applyFill="1" applyBorder="1" applyAlignment="1">
      <alignment horizontal="left" vertical="center" indent="2"/>
    </xf>
    <xf numFmtId="0" fontId="10" fillId="3" borderId="0" xfId="1" applyFont="1" applyFill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166" fontId="3" fillId="0" borderId="1" xfId="3" applyNumberFormat="1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10" fillId="3" borderId="0" xfId="1" applyNumberFormat="1" applyFont="1" applyFill="1" applyAlignment="1">
      <alignment vertical="top" wrapText="1"/>
    </xf>
    <xf numFmtId="0" fontId="14" fillId="3" borderId="0" xfId="1" applyFont="1" applyFill="1" applyAlignment="1">
      <alignment vertical="top" wrapText="1"/>
    </xf>
    <xf numFmtId="0" fontId="3" fillId="4" borderId="1" xfId="1" applyFont="1" applyFill="1" applyBorder="1" applyAlignment="1">
      <alignment horizontal="center" vertical="top" wrapText="1"/>
    </xf>
    <xf numFmtId="0" fontId="3" fillId="4" borderId="1" xfId="1" applyFont="1" applyFill="1" applyBorder="1" applyAlignment="1">
      <alignment horizontal="center" vertical="center" wrapText="1"/>
    </xf>
    <xf numFmtId="166" fontId="15" fillId="4" borderId="1" xfId="1" applyNumberFormat="1" applyFont="1" applyFill="1" applyBorder="1" applyAlignment="1">
      <alignment horizontal="center" vertical="center" wrapText="1"/>
    </xf>
    <xf numFmtId="165" fontId="14" fillId="3" borderId="0" xfId="1" applyNumberFormat="1" applyFont="1" applyFill="1" applyAlignment="1">
      <alignment vertical="top" wrapText="1"/>
    </xf>
    <xf numFmtId="0" fontId="3" fillId="3" borderId="1" xfId="1" applyFont="1" applyFill="1" applyBorder="1" applyAlignment="1">
      <alignment horizontal="center" vertical="top" wrapText="1"/>
    </xf>
    <xf numFmtId="0" fontId="17" fillId="0" borderId="1" xfId="1" applyFont="1" applyBorder="1" applyAlignment="1">
      <alignment vertical="center" wrapText="1"/>
    </xf>
    <xf numFmtId="166" fontId="3" fillId="5" borderId="1" xfId="1" applyNumberFormat="1" applyFont="1" applyFill="1" applyBorder="1" applyAlignment="1">
      <alignment horizontal="center" vertical="center" wrapText="1"/>
    </xf>
    <xf numFmtId="0" fontId="18" fillId="0" borderId="0" xfId="1" applyFont="1" applyAlignment="1">
      <alignment vertical="top" wrapText="1"/>
    </xf>
    <xf numFmtId="0" fontId="3" fillId="3" borderId="0" xfId="1" applyFont="1" applyFill="1" applyAlignment="1">
      <alignment vertical="top" wrapText="1"/>
    </xf>
    <xf numFmtId="167" fontId="3" fillId="3" borderId="0" xfId="1" applyNumberFormat="1" applyFont="1" applyFill="1"/>
    <xf numFmtId="0" fontId="4" fillId="6" borderId="1" xfId="1" applyFont="1" applyFill="1" applyBorder="1" applyAlignment="1">
      <alignment horizontal="center" vertical="center" textRotation="90" wrapText="1"/>
    </xf>
    <xf numFmtId="0" fontId="21" fillId="5" borderId="1" xfId="1" applyFont="1" applyFill="1" applyBorder="1" applyAlignment="1">
      <alignment horizontal="center" vertical="center" wrapText="1"/>
    </xf>
    <xf numFmtId="0" fontId="23" fillId="5" borderId="0" xfId="1" applyFont="1" applyFill="1" applyAlignment="1">
      <alignment vertical="top" wrapText="1"/>
    </xf>
    <xf numFmtId="0" fontId="9" fillId="5" borderId="1" xfId="10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vertical="top" wrapText="1"/>
    </xf>
    <xf numFmtId="0" fontId="4" fillId="6" borderId="1" xfId="1" applyFont="1" applyFill="1" applyBorder="1" applyAlignment="1">
      <alignment horizontal="right" vertical="top" wrapText="1"/>
    </xf>
    <xf numFmtId="43" fontId="3" fillId="6" borderId="1" xfId="1" applyNumberFormat="1" applyFont="1" applyFill="1" applyBorder="1" applyAlignment="1">
      <alignment vertical="top" wrapText="1"/>
    </xf>
    <xf numFmtId="0" fontId="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21" fillId="0" borderId="0" xfId="6" applyFont="1"/>
    <xf numFmtId="0" fontId="22" fillId="0" borderId="0" xfId="6" applyFont="1" applyAlignment="1">
      <alignment vertical="center"/>
    </xf>
    <xf numFmtId="0" fontId="22" fillId="0" borderId="0" xfId="6" applyFont="1"/>
    <xf numFmtId="0" fontId="21" fillId="0" borderId="0" xfId="6" applyFont="1" applyAlignment="1">
      <alignment vertical="center"/>
    </xf>
    <xf numFmtId="0" fontId="21" fillId="0" borderId="0" xfId="6" applyFont="1" applyAlignment="1">
      <alignment wrapText="1"/>
    </xf>
    <xf numFmtId="0" fontId="9" fillId="0" borderId="1" xfId="17" applyFont="1" applyBorder="1" applyAlignment="1">
      <alignment horizontal="left" vertical="top" wrapText="1"/>
    </xf>
    <xf numFmtId="0" fontId="9" fillId="0" borderId="1" xfId="17" applyFont="1" applyBorder="1" applyAlignment="1">
      <alignment horizontal="center" vertical="center" wrapText="1"/>
    </xf>
    <xf numFmtId="166" fontId="9" fillId="0" borderId="1" xfId="18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4" fillId="6" borderId="1" xfId="1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left" vertical="top" wrapText="1"/>
    </xf>
    <xf numFmtId="0" fontId="3" fillId="0" borderId="1" xfId="11" applyFont="1" applyBorder="1" applyAlignment="1">
      <alignment horizontal="left" vertical="top" wrapText="1" indent="3"/>
    </xf>
    <xf numFmtId="167" fontId="9" fillId="0" borderId="1" xfId="3" applyNumberFormat="1" applyFont="1" applyFill="1" applyBorder="1" applyAlignment="1">
      <alignment horizontal="center" vertical="center" wrapText="1"/>
    </xf>
    <xf numFmtId="0" fontId="3" fillId="5" borderId="1" xfId="6" applyFont="1" applyFill="1" applyBorder="1" applyAlignment="1">
      <alignment horizontal="left" vertical="top" wrapText="1"/>
    </xf>
    <xf numFmtId="0" fontId="9" fillId="0" borderId="1" xfId="5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 indent="2"/>
    </xf>
    <xf numFmtId="0" fontId="9" fillId="0" borderId="1" xfId="6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29" fillId="0" borderId="0" xfId="6" applyFont="1" applyAlignment="1">
      <alignment horizontal="center" vertical="center"/>
    </xf>
    <xf numFmtId="0" fontId="21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166" fontId="3" fillId="0" borderId="1" xfId="3" applyNumberFormat="1" applyFont="1" applyFill="1" applyBorder="1" applyAlignment="1">
      <alignment horizontal="center" vertical="top" wrapText="1"/>
    </xf>
    <xf numFmtId="0" fontId="30" fillId="0" borderId="0" xfId="0" applyFont="1" applyAlignment="1">
      <alignment horizontal="right"/>
    </xf>
    <xf numFmtId="0" fontId="9" fillId="0" borderId="1" xfId="6" applyFont="1" applyBorder="1" applyAlignment="1">
      <alignment horizontal="left" vertical="top" wrapText="1"/>
    </xf>
    <xf numFmtId="0" fontId="16" fillId="0" borderId="1" xfId="5" applyFont="1" applyBorder="1" applyAlignment="1">
      <alignment horizontal="left" vertical="center" wrapText="1" indent="2"/>
    </xf>
    <xf numFmtId="0" fontId="4" fillId="6" borderId="2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textRotation="90"/>
    </xf>
    <xf numFmtId="0" fontId="4" fillId="6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textRotation="90" wrapText="1"/>
    </xf>
    <xf numFmtId="0" fontId="3" fillId="6" borderId="1" xfId="1" applyFont="1" applyFill="1" applyBorder="1" applyAlignment="1">
      <alignment horizontal="center" vertical="center" textRotation="90" wrapText="1"/>
    </xf>
  </cellXfs>
  <cellStyles count="20">
    <cellStyle name="Accent1 6" xfId="7" xr:uid="{00000000-0005-0000-0000-000000000000}"/>
    <cellStyle name="Komats 2" xfId="3" xr:uid="{00000000-0005-0000-0000-000001000000}"/>
    <cellStyle name="Komats 2 2" xfId="18" xr:uid="{00000000-0005-0000-0000-000002000000}"/>
    <cellStyle name="Komats 2 3" xfId="16" xr:uid="{00000000-0005-0000-0000-000003000000}"/>
    <cellStyle name="Normal 2" xfId="2" xr:uid="{00000000-0005-0000-0000-000005000000}"/>
    <cellStyle name="Normal 2 2" xfId="12" xr:uid="{00000000-0005-0000-0000-000006000000}"/>
    <cellStyle name="Normal 2 3" xfId="14" xr:uid="{00000000-0005-0000-0000-000007000000}"/>
    <cellStyle name="Normal 2 5" xfId="5" xr:uid="{00000000-0005-0000-0000-000008000000}"/>
    <cellStyle name="Normal 20" xfId="15" xr:uid="{00000000-0005-0000-0000-000009000000}"/>
    <cellStyle name="Normal 5 2 2" xfId="9" xr:uid="{00000000-0005-0000-0000-00000A000000}"/>
    <cellStyle name="Normal 5 3" xfId="8" xr:uid="{00000000-0005-0000-0000-00000B000000}"/>
    <cellStyle name="Normal_P-ST-06-16 SPECIF" xfId="4" xr:uid="{00000000-0005-0000-0000-00000D000000}"/>
    <cellStyle name="Parasts" xfId="0" builtinId="0"/>
    <cellStyle name="Parasts 2" xfId="1" xr:uid="{00000000-0005-0000-0000-00000E000000}"/>
    <cellStyle name="Parasts 2 2" xfId="6" xr:uid="{00000000-0005-0000-0000-00000F000000}"/>
    <cellStyle name="Parasts 2 2 2" xfId="19" xr:uid="{00000000-0005-0000-0000-000010000000}"/>
    <cellStyle name="Parasts 2 3" xfId="17" xr:uid="{00000000-0005-0000-0000-000011000000}"/>
    <cellStyle name="Parasts 3" xfId="11" xr:uid="{00000000-0005-0000-0000-000012000000}"/>
    <cellStyle name="Parasts 4" xfId="13" xr:uid="{00000000-0005-0000-0000-000013000000}"/>
    <cellStyle name="Parasts 5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Projekti/TP-15-06%20Sarmas4/Piedavajums%20Loksirs%20Sarmas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gums1-buvdarbi"/>
      <sheetName val="Koef"/>
      <sheetName val="K 1+2"/>
      <sheetName val="1-1"/>
      <sheetName val="izpilde"/>
      <sheetName val="Ligums2-konteineri"/>
    </sheetNames>
    <sheetDataSet>
      <sheetData sheetId="0"/>
      <sheetData sheetId="1">
        <row r="3">
          <cell r="D3">
            <v>1.1000000000000001</v>
          </cell>
        </row>
        <row r="4">
          <cell r="D4">
            <v>1.1000000000000001</v>
          </cell>
        </row>
        <row r="7">
          <cell r="G7">
            <v>4.9800000000000004</v>
          </cell>
          <cell r="H7">
            <v>5.69</v>
          </cell>
          <cell r="I7">
            <v>6.9</v>
          </cell>
        </row>
        <row r="8">
          <cell r="D8">
            <v>4.4999999999999998E-2</v>
          </cell>
        </row>
        <row r="9">
          <cell r="D9">
            <v>0.1</v>
          </cell>
        </row>
        <row r="18">
          <cell r="C18" t="str">
            <v>50-3931</v>
          </cell>
        </row>
        <row r="19">
          <cell r="C19" t="str">
            <v>2015.gada ____.___________</v>
          </cell>
        </row>
        <row r="20">
          <cell r="C20" t="str">
            <v>Sergejs Kļimitenko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36"/>
  <sheetViews>
    <sheetView showGridLines="0" tabSelected="1" zoomScale="145" zoomScaleNormal="145" workbookViewId="0">
      <selection activeCell="W9" sqref="W9"/>
    </sheetView>
  </sheetViews>
  <sheetFormatPr defaultColWidth="9.54296875" defaultRowHeight="10" outlineLevelCol="1" x14ac:dyDescent="0.2"/>
  <cols>
    <col min="1" max="1" width="7.08984375" style="1" customWidth="1"/>
    <col min="2" max="2" width="4.54296875" style="1" customWidth="1"/>
    <col min="3" max="3" width="7.54296875" style="1" customWidth="1"/>
    <col min="4" max="4" width="40.453125" style="1" customWidth="1"/>
    <col min="5" max="5" width="7.453125" style="1" customWidth="1"/>
    <col min="6" max="6" width="7.1796875" style="1" customWidth="1"/>
    <col min="7" max="16" width="7.7265625" style="1" hidden="1" customWidth="1" outlineLevel="1"/>
    <col min="17" max="17" width="12" style="1" customWidth="1" collapsed="1"/>
    <col min="18" max="18" width="6.453125" style="1" customWidth="1"/>
    <col min="19" max="23" width="9.54296875" style="1"/>
    <col min="24" max="24" width="9.54296875" style="1" collapsed="1"/>
    <col min="25" max="28" width="9.54296875" style="1"/>
    <col min="29" max="30" width="9.54296875" style="1" hidden="1" customWidth="1"/>
    <col min="31" max="31" width="9.54296875" style="1" collapsed="1"/>
    <col min="32" max="16384" width="9.54296875" style="1"/>
  </cols>
  <sheetData>
    <row r="1" spans="2:29" ht="11.5" x14ac:dyDescent="0.25">
      <c r="Q1" s="57" t="s">
        <v>155</v>
      </c>
    </row>
    <row r="2" spans="2:29" ht="16" customHeight="1" x14ac:dyDescent="0.25">
      <c r="B2" s="34"/>
      <c r="C2" s="35"/>
      <c r="D2" s="53" t="s">
        <v>82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3" spans="2:29" s="2" customFormat="1" ht="15" customHeight="1" x14ac:dyDescent="0.25">
      <c r="B3" s="33" t="s">
        <v>74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4"/>
      <c r="V3" s="34"/>
      <c r="W3" s="34"/>
      <c r="X3" s="34"/>
      <c r="Y3" s="34"/>
      <c r="Z3" s="34"/>
      <c r="AA3" s="34"/>
      <c r="AB3" s="34"/>
      <c r="AC3" s="34"/>
    </row>
    <row r="4" spans="2:29" s="2" customFormat="1" ht="15" customHeight="1" x14ac:dyDescent="0.25">
      <c r="B4" s="32" t="s">
        <v>81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  <c r="S4" s="38"/>
      <c r="T4" s="38"/>
      <c r="U4" s="34"/>
      <c r="V4" s="34"/>
      <c r="W4" s="34"/>
      <c r="X4" s="34"/>
      <c r="Y4" s="34"/>
      <c r="Z4" s="34"/>
      <c r="AA4" s="34"/>
      <c r="AB4" s="34"/>
      <c r="AC4" s="34"/>
    </row>
    <row r="5" spans="2:29" s="2" customFormat="1" ht="15" customHeight="1" x14ac:dyDescent="0.25">
      <c r="B5" s="32" t="s">
        <v>100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8"/>
      <c r="S5" s="38"/>
      <c r="T5" s="38"/>
      <c r="U5" s="34"/>
      <c r="V5" s="34"/>
      <c r="W5" s="34"/>
      <c r="X5" s="34"/>
      <c r="Y5" s="34"/>
      <c r="Z5" s="34"/>
      <c r="AA5" s="34"/>
      <c r="AB5" s="34"/>
      <c r="AC5" s="34"/>
    </row>
    <row r="6" spans="2:29" s="2" customFormat="1" ht="15" customHeight="1" x14ac:dyDescent="0.25">
      <c r="B6" s="33" t="s">
        <v>14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  <c r="S6" s="38"/>
      <c r="T6" s="38"/>
      <c r="U6" s="34"/>
      <c r="V6" s="34"/>
      <c r="W6" s="34"/>
      <c r="X6" s="34"/>
      <c r="Y6" s="34"/>
      <c r="Z6" s="34"/>
      <c r="AA6" s="34"/>
      <c r="AB6" s="34"/>
      <c r="AC6" s="34"/>
    </row>
    <row r="7" spans="2:29" ht="7.5" customHeight="1" x14ac:dyDescent="0.25">
      <c r="C7" s="4"/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29" ht="16.399999999999999" customHeight="1" x14ac:dyDescent="0.2">
      <c r="B8" s="62" t="s">
        <v>0</v>
      </c>
      <c r="C8" s="62" t="s">
        <v>1</v>
      </c>
      <c r="D8" s="63" t="s">
        <v>2</v>
      </c>
      <c r="E8" s="62" t="s">
        <v>3</v>
      </c>
      <c r="F8" s="64" t="s">
        <v>4</v>
      </c>
      <c r="G8" s="43" t="s">
        <v>39</v>
      </c>
      <c r="H8" s="43" t="s">
        <v>40</v>
      </c>
      <c r="I8" s="43" t="s">
        <v>41</v>
      </c>
      <c r="J8" s="43" t="s">
        <v>42</v>
      </c>
      <c r="K8" s="43" t="s">
        <v>43</v>
      </c>
      <c r="L8" s="43" t="s">
        <v>44</v>
      </c>
      <c r="M8" s="43" t="s">
        <v>45</v>
      </c>
      <c r="N8" s="43" t="s">
        <v>46</v>
      </c>
      <c r="O8" s="43" t="s">
        <v>37</v>
      </c>
      <c r="P8" s="43" t="s">
        <v>38</v>
      </c>
      <c r="Q8" s="60" t="s">
        <v>97</v>
      </c>
    </row>
    <row r="9" spans="2:29" ht="57" customHeight="1" x14ac:dyDescent="0.2">
      <c r="B9" s="62"/>
      <c r="C9" s="62"/>
      <c r="D9" s="63"/>
      <c r="E9" s="62"/>
      <c r="F9" s="65"/>
      <c r="G9" s="24" t="s">
        <v>28</v>
      </c>
      <c r="H9" s="24" t="s">
        <v>29</v>
      </c>
      <c r="I9" s="24" t="s">
        <v>30</v>
      </c>
      <c r="J9" s="24" t="s">
        <v>31</v>
      </c>
      <c r="K9" s="24" t="s">
        <v>32</v>
      </c>
      <c r="L9" s="24" t="s">
        <v>33</v>
      </c>
      <c r="M9" s="24" t="s">
        <v>34</v>
      </c>
      <c r="N9" s="24" t="s">
        <v>35</v>
      </c>
      <c r="O9" s="24" t="s">
        <v>36</v>
      </c>
      <c r="P9" s="24" t="s">
        <v>99</v>
      </c>
      <c r="Q9" s="61"/>
    </row>
    <row r="10" spans="2:29" s="13" customFormat="1" ht="11.15" customHeight="1" x14ac:dyDescent="0.35">
      <c r="B10" s="14"/>
      <c r="C10" s="14"/>
      <c r="D10" s="5" t="s">
        <v>18</v>
      </c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2:29" s="6" customFormat="1" ht="30" x14ac:dyDescent="0.35">
      <c r="B11" s="7">
        <v>1</v>
      </c>
      <c r="C11" s="7"/>
      <c r="D11" s="8" t="s">
        <v>19</v>
      </c>
      <c r="E11" s="9" t="s">
        <v>5</v>
      </c>
      <c r="F11" s="10">
        <f>SUM(G11:P11)</f>
        <v>10</v>
      </c>
      <c r="G11" s="10">
        <v>1</v>
      </c>
      <c r="H11" s="10">
        <v>1</v>
      </c>
      <c r="I11" s="10">
        <v>1</v>
      </c>
      <c r="J11" s="10">
        <v>1</v>
      </c>
      <c r="K11" s="42">
        <v>1</v>
      </c>
      <c r="L11" s="10">
        <v>1</v>
      </c>
      <c r="M11" s="10">
        <v>1</v>
      </c>
      <c r="N11" s="10">
        <v>1</v>
      </c>
      <c r="O11" s="10">
        <v>1</v>
      </c>
      <c r="P11" s="10">
        <v>1</v>
      </c>
      <c r="Q11" s="10"/>
    </row>
    <row r="12" spans="2:29" s="6" customFormat="1" ht="44.15" customHeight="1" x14ac:dyDescent="0.35">
      <c r="B12" s="7">
        <v>2</v>
      </c>
      <c r="C12" s="7"/>
      <c r="D12" s="11" t="s">
        <v>6</v>
      </c>
      <c r="E12" s="9" t="s">
        <v>7</v>
      </c>
      <c r="F12" s="10">
        <f t="shared" ref="F12:F60" si="0">SUM(G12:P12)</f>
        <v>527.04999999999995</v>
      </c>
      <c r="G12" s="10">
        <f>0.74*50</f>
        <v>37</v>
      </c>
      <c r="H12" s="10">
        <f>0.94*60</f>
        <v>56.4</v>
      </c>
      <c r="I12" s="10">
        <f>41*0.94</f>
        <v>38.54</v>
      </c>
      <c r="J12" s="10">
        <f>43*0.94</f>
        <v>40.419999999999995</v>
      </c>
      <c r="K12" s="10">
        <f>0.74*153</f>
        <v>113.22</v>
      </c>
      <c r="L12" s="10">
        <f>46*0.94</f>
        <v>43.239999999999995</v>
      </c>
      <c r="M12" s="10">
        <f>23*0.94</f>
        <v>21.619999999999997</v>
      </c>
      <c r="N12" s="10">
        <f>0.94*50</f>
        <v>47</v>
      </c>
      <c r="O12" s="10">
        <f>(40*1.94)+(1.47*7)</f>
        <v>87.889999999999986</v>
      </c>
      <c r="P12" s="10">
        <f>1.49*28</f>
        <v>41.72</v>
      </c>
      <c r="Q12" s="10"/>
      <c r="S12" s="12"/>
    </row>
    <row r="13" spans="2:29" s="13" customFormat="1" ht="11.5" customHeight="1" x14ac:dyDescent="0.35">
      <c r="B13" s="7">
        <v>3</v>
      </c>
      <c r="C13" s="7"/>
      <c r="D13" s="11" t="s">
        <v>8</v>
      </c>
      <c r="E13" s="9" t="s">
        <v>12</v>
      </c>
      <c r="F13" s="10">
        <f t="shared" si="0"/>
        <v>189.71</v>
      </c>
      <c r="G13" s="10">
        <f>0.31*50</f>
        <v>15.5</v>
      </c>
      <c r="H13" s="10">
        <f>60*0.31</f>
        <v>18.600000000000001</v>
      </c>
      <c r="I13" s="10">
        <f>41*0.32</f>
        <v>13.120000000000001</v>
      </c>
      <c r="J13" s="10">
        <f>43*0.35</f>
        <v>15.049999999999999</v>
      </c>
      <c r="K13" s="10">
        <f>0.31*153</f>
        <v>47.43</v>
      </c>
      <c r="L13" s="10">
        <f>0.31*46</f>
        <v>14.26</v>
      </c>
      <c r="M13" s="10">
        <f>0.34*23</f>
        <v>7.82</v>
      </c>
      <c r="N13" s="10">
        <f>0.34*50</f>
        <v>17</v>
      </c>
      <c r="O13" s="10">
        <f>(0.57*40)+(0.31*7)</f>
        <v>24.97</v>
      </c>
      <c r="P13" s="10">
        <f>0.57*28</f>
        <v>15.959999999999999</v>
      </c>
      <c r="Q13" s="10"/>
      <c r="R13" s="6"/>
      <c r="S13" s="12"/>
    </row>
    <row r="14" spans="2:29" s="13" customFormat="1" ht="34.5" customHeight="1" x14ac:dyDescent="0.35">
      <c r="B14" s="7">
        <v>4</v>
      </c>
      <c r="C14" s="7"/>
      <c r="D14" s="8" t="s">
        <v>9</v>
      </c>
      <c r="E14" s="9" t="s">
        <v>7</v>
      </c>
      <c r="F14" s="10">
        <f t="shared" si="0"/>
        <v>53.23</v>
      </c>
      <c r="G14" s="10">
        <f>0.26*17</f>
        <v>4.42</v>
      </c>
      <c r="H14" s="10">
        <f>0.42*7</f>
        <v>2.94</v>
      </c>
      <c r="I14" s="10">
        <f>0.41*34</f>
        <v>13.94</v>
      </c>
      <c r="J14" s="10">
        <f>0.35*21</f>
        <v>7.35</v>
      </c>
      <c r="K14" s="10">
        <f>0.26*15</f>
        <v>3.9000000000000004</v>
      </c>
      <c r="L14" s="10">
        <f>0.42*7</f>
        <v>2.94</v>
      </c>
      <c r="M14" s="10">
        <f>0.38*7</f>
        <v>2.66</v>
      </c>
      <c r="N14" s="10">
        <f>0.38*25</f>
        <v>9.5</v>
      </c>
      <c r="O14" s="10">
        <f>0.36*7</f>
        <v>2.52</v>
      </c>
      <c r="P14" s="10">
        <f>0.18*17</f>
        <v>3.06</v>
      </c>
      <c r="Q14" s="10"/>
      <c r="R14" s="6"/>
      <c r="S14" s="12"/>
    </row>
    <row r="15" spans="2:29" s="13" customFormat="1" ht="34.5" customHeight="1" x14ac:dyDescent="0.35">
      <c r="B15" s="7">
        <v>5</v>
      </c>
      <c r="C15" s="7"/>
      <c r="D15" s="8" t="s">
        <v>47</v>
      </c>
      <c r="E15" s="9" t="s">
        <v>7</v>
      </c>
      <c r="F15" s="10">
        <f t="shared" si="0"/>
        <v>281.21000000000004</v>
      </c>
      <c r="G15" s="10">
        <f>0.65*33</f>
        <v>21.45</v>
      </c>
      <c r="H15" s="10">
        <f>0.81*53</f>
        <v>42.93</v>
      </c>
      <c r="I15" s="10">
        <f>7*0.83</f>
        <v>5.81</v>
      </c>
      <c r="J15" s="10">
        <f>0.78*22</f>
        <v>17.16</v>
      </c>
      <c r="K15" s="10">
        <f>138*0.65</f>
        <v>89.7</v>
      </c>
      <c r="L15" s="10">
        <f>0.81*39</f>
        <v>31.590000000000003</v>
      </c>
      <c r="M15" s="10">
        <f>0.8*16</f>
        <v>12.8</v>
      </c>
      <c r="N15" s="10">
        <f>0.8*25</f>
        <v>20</v>
      </c>
      <c r="O15" s="10">
        <f>(0.88*33)+(0.81*7)</f>
        <v>34.71</v>
      </c>
      <c r="P15" s="10">
        <f>11*0.46</f>
        <v>5.0600000000000005</v>
      </c>
      <c r="Q15" s="10"/>
      <c r="R15" s="6"/>
      <c r="S15" s="12"/>
    </row>
    <row r="16" spans="2:29" s="13" customFormat="1" ht="11" customHeight="1" x14ac:dyDescent="0.35">
      <c r="B16" s="14"/>
      <c r="C16" s="14"/>
      <c r="D16" s="5" t="s">
        <v>20</v>
      </c>
      <c r="E16" s="15"/>
      <c r="F16" s="15"/>
      <c r="G16" s="15"/>
      <c r="H16" s="16"/>
      <c r="I16" s="16"/>
      <c r="J16" s="16"/>
      <c r="K16" s="16"/>
      <c r="L16" s="16"/>
      <c r="M16" s="16"/>
      <c r="N16" s="16"/>
      <c r="O16" s="16"/>
      <c r="P16" s="16"/>
      <c r="Q16" s="16"/>
      <c r="S16" s="17"/>
    </row>
    <row r="17" spans="2:19" s="13" customFormat="1" ht="12" customHeight="1" x14ac:dyDescent="0.35">
      <c r="B17" s="7">
        <v>6</v>
      </c>
      <c r="C17" s="7"/>
      <c r="D17" s="8" t="s">
        <v>89</v>
      </c>
      <c r="E17" s="9" t="s">
        <v>10</v>
      </c>
      <c r="F17" s="10">
        <f t="shared" si="0"/>
        <v>112</v>
      </c>
      <c r="G17" s="10"/>
      <c r="H17" s="10"/>
      <c r="I17" s="10"/>
      <c r="J17" s="10"/>
      <c r="K17" s="10"/>
      <c r="L17" s="10"/>
      <c r="M17" s="10"/>
      <c r="N17" s="10"/>
      <c r="O17" s="10">
        <f>40*2</f>
        <v>80</v>
      </c>
      <c r="P17" s="10">
        <f>16*2</f>
        <v>32</v>
      </c>
      <c r="Q17" s="10"/>
      <c r="S17" s="17"/>
    </row>
    <row r="18" spans="2:19" s="13" customFormat="1" ht="12" customHeight="1" x14ac:dyDescent="0.35">
      <c r="B18" s="7">
        <v>7</v>
      </c>
      <c r="C18" s="7"/>
      <c r="D18" s="8" t="s">
        <v>87</v>
      </c>
      <c r="E18" s="9" t="s">
        <v>10</v>
      </c>
      <c r="F18" s="10">
        <f t="shared" si="0"/>
        <v>24</v>
      </c>
      <c r="G18" s="10"/>
      <c r="H18" s="10"/>
      <c r="I18" s="10"/>
      <c r="J18" s="10"/>
      <c r="K18" s="10"/>
      <c r="L18" s="10"/>
      <c r="M18" s="10"/>
      <c r="N18" s="10"/>
      <c r="O18" s="10"/>
      <c r="P18" s="10">
        <f>12*2</f>
        <v>24</v>
      </c>
      <c r="Q18" s="10"/>
      <c r="S18" s="17"/>
    </row>
    <row r="19" spans="2:19" s="13" customFormat="1" ht="12" customHeight="1" x14ac:dyDescent="0.35">
      <c r="B19" s="7">
        <v>8</v>
      </c>
      <c r="C19" s="7"/>
      <c r="D19" s="8" t="s">
        <v>83</v>
      </c>
      <c r="E19" s="9" t="s">
        <v>10</v>
      </c>
      <c r="F19" s="10">
        <f t="shared" si="0"/>
        <v>44</v>
      </c>
      <c r="G19" s="10"/>
      <c r="H19" s="10"/>
      <c r="I19" s="10"/>
      <c r="J19" s="10">
        <f>22*2</f>
        <v>44</v>
      </c>
      <c r="K19" s="10"/>
      <c r="L19" s="10"/>
      <c r="M19" s="10"/>
      <c r="N19" s="10"/>
      <c r="O19" s="10"/>
      <c r="P19" s="10"/>
      <c r="Q19" s="10"/>
      <c r="S19" s="17"/>
    </row>
    <row r="20" spans="2:19" s="13" customFormat="1" ht="12" customHeight="1" x14ac:dyDescent="0.35">
      <c r="B20" s="7">
        <v>9</v>
      </c>
      <c r="C20" s="7"/>
      <c r="D20" s="8" t="s">
        <v>48</v>
      </c>
      <c r="E20" s="9" t="s">
        <v>10</v>
      </c>
      <c r="F20" s="10">
        <f t="shared" si="0"/>
        <v>138</v>
      </c>
      <c r="G20" s="10"/>
      <c r="H20" s="10"/>
      <c r="I20" s="10"/>
      <c r="J20" s="10">
        <f>2*21</f>
        <v>42</v>
      </c>
      <c r="K20" s="10"/>
      <c r="L20" s="10"/>
      <c r="M20" s="10">
        <f>23*2</f>
        <v>46</v>
      </c>
      <c r="N20" s="10">
        <f>25*2</f>
        <v>50</v>
      </c>
      <c r="O20" s="10"/>
      <c r="P20" s="10"/>
      <c r="Q20" s="10"/>
      <c r="S20" s="17"/>
    </row>
    <row r="21" spans="2:19" s="13" customFormat="1" ht="12" customHeight="1" x14ac:dyDescent="0.35">
      <c r="B21" s="7">
        <v>10</v>
      </c>
      <c r="C21" s="7"/>
      <c r="D21" s="8" t="s">
        <v>21</v>
      </c>
      <c r="E21" s="9" t="s">
        <v>10</v>
      </c>
      <c r="F21" s="10">
        <f t="shared" si="0"/>
        <v>492</v>
      </c>
      <c r="G21" s="10">
        <f>45*2</f>
        <v>90</v>
      </c>
      <c r="H21" s="10"/>
      <c r="I21" s="10">
        <f>41*2</f>
        <v>82</v>
      </c>
      <c r="J21" s="10"/>
      <c r="K21" s="10">
        <f>135*2</f>
        <v>270</v>
      </c>
      <c r="L21" s="10"/>
      <c r="M21" s="10"/>
      <c r="N21" s="10">
        <f>25*2</f>
        <v>50</v>
      </c>
      <c r="O21" s="10"/>
      <c r="P21" s="10"/>
      <c r="Q21" s="10"/>
      <c r="S21" s="17"/>
    </row>
    <row r="22" spans="2:19" s="13" customFormat="1" ht="12" customHeight="1" x14ac:dyDescent="0.35">
      <c r="B22" s="7">
        <v>11</v>
      </c>
      <c r="C22" s="7"/>
      <c r="D22" s="8" t="s">
        <v>75</v>
      </c>
      <c r="E22" s="9" t="s">
        <v>10</v>
      </c>
      <c r="F22" s="10">
        <f t="shared" si="0"/>
        <v>272</v>
      </c>
      <c r="G22" s="10">
        <f>5*2</f>
        <v>10</v>
      </c>
      <c r="H22" s="10">
        <f>60*2</f>
        <v>120</v>
      </c>
      <c r="I22" s="10"/>
      <c r="J22" s="10"/>
      <c r="K22" s="10">
        <f>18*2</f>
        <v>36</v>
      </c>
      <c r="L22" s="10">
        <f>46*2</f>
        <v>92</v>
      </c>
      <c r="M22" s="10"/>
      <c r="N22" s="10"/>
      <c r="O22" s="10">
        <f>7*2</f>
        <v>14</v>
      </c>
      <c r="P22" s="10"/>
      <c r="Q22" s="10"/>
      <c r="S22" s="17"/>
    </row>
    <row r="23" spans="2:19" s="13" customFormat="1" ht="12" customHeight="1" x14ac:dyDescent="0.35">
      <c r="B23" s="7">
        <v>12</v>
      </c>
      <c r="C23" s="7"/>
      <c r="D23" s="8" t="s">
        <v>143</v>
      </c>
      <c r="E23" s="9" t="s">
        <v>11</v>
      </c>
      <c r="F23" s="10">
        <f t="shared" si="0"/>
        <v>8</v>
      </c>
      <c r="G23" s="10"/>
      <c r="H23" s="10"/>
      <c r="I23" s="10"/>
      <c r="J23" s="10"/>
      <c r="K23" s="10"/>
      <c r="L23" s="10"/>
      <c r="M23" s="10"/>
      <c r="N23" s="10"/>
      <c r="O23" s="10">
        <f>3*2</f>
        <v>6</v>
      </c>
      <c r="P23" s="10">
        <v>2</v>
      </c>
      <c r="Q23" s="10"/>
      <c r="S23" s="17"/>
    </row>
    <row r="24" spans="2:19" s="13" customFormat="1" ht="12" customHeight="1" x14ac:dyDescent="0.35">
      <c r="B24" s="7">
        <v>13</v>
      </c>
      <c r="C24" s="7"/>
      <c r="D24" s="8" t="s">
        <v>144</v>
      </c>
      <c r="E24" s="9" t="s">
        <v>11</v>
      </c>
      <c r="F24" s="10">
        <f t="shared" si="0"/>
        <v>2</v>
      </c>
      <c r="G24" s="10"/>
      <c r="H24" s="10"/>
      <c r="I24" s="10"/>
      <c r="J24" s="10"/>
      <c r="K24" s="10"/>
      <c r="L24" s="10"/>
      <c r="M24" s="10"/>
      <c r="N24" s="10"/>
      <c r="O24" s="10">
        <v>2</v>
      </c>
      <c r="P24" s="10"/>
      <c r="Q24" s="10"/>
      <c r="S24" s="17"/>
    </row>
    <row r="25" spans="2:19" s="13" customFormat="1" ht="12" customHeight="1" x14ac:dyDescent="0.35">
      <c r="B25" s="7">
        <v>14</v>
      </c>
      <c r="C25" s="7"/>
      <c r="D25" s="8" t="s">
        <v>152</v>
      </c>
      <c r="E25" s="9" t="s">
        <v>11</v>
      </c>
      <c r="F25" s="10">
        <f t="shared" si="0"/>
        <v>2</v>
      </c>
      <c r="G25" s="10"/>
      <c r="H25" s="10"/>
      <c r="I25" s="10"/>
      <c r="J25" s="10"/>
      <c r="K25" s="10"/>
      <c r="L25" s="10"/>
      <c r="M25" s="10"/>
      <c r="N25" s="10"/>
      <c r="O25" s="10"/>
      <c r="P25" s="10">
        <v>2</v>
      </c>
      <c r="Q25" s="10"/>
      <c r="S25" s="17"/>
    </row>
    <row r="26" spans="2:19" s="13" customFormat="1" ht="12" customHeight="1" x14ac:dyDescent="0.35">
      <c r="B26" s="7">
        <v>15</v>
      </c>
      <c r="C26" s="7"/>
      <c r="D26" s="8" t="s">
        <v>131</v>
      </c>
      <c r="E26" s="9" t="s">
        <v>11</v>
      </c>
      <c r="F26" s="10">
        <f t="shared" si="0"/>
        <v>4</v>
      </c>
      <c r="G26" s="10"/>
      <c r="H26" s="10"/>
      <c r="I26" s="10"/>
      <c r="J26" s="10">
        <v>4</v>
      </c>
      <c r="K26" s="10"/>
      <c r="L26" s="10"/>
      <c r="M26" s="10"/>
      <c r="N26" s="10"/>
      <c r="O26" s="10"/>
      <c r="P26" s="10"/>
      <c r="Q26" s="10"/>
      <c r="S26" s="17"/>
    </row>
    <row r="27" spans="2:19" s="13" customFormat="1" ht="12" customHeight="1" x14ac:dyDescent="0.35">
      <c r="B27" s="7">
        <v>16</v>
      </c>
      <c r="C27" s="7"/>
      <c r="D27" s="8" t="s">
        <v>132</v>
      </c>
      <c r="E27" s="9" t="s">
        <v>11</v>
      </c>
      <c r="F27" s="10">
        <f t="shared" si="0"/>
        <v>6</v>
      </c>
      <c r="G27" s="10"/>
      <c r="H27" s="10"/>
      <c r="I27" s="10"/>
      <c r="J27" s="10">
        <v>4</v>
      </c>
      <c r="K27" s="10"/>
      <c r="L27" s="10"/>
      <c r="M27" s="10"/>
      <c r="N27" s="10">
        <v>2</v>
      </c>
      <c r="O27" s="10"/>
      <c r="P27" s="10"/>
      <c r="Q27" s="10"/>
      <c r="S27" s="17"/>
    </row>
    <row r="28" spans="2:19" s="13" customFormat="1" ht="12" customHeight="1" x14ac:dyDescent="0.35">
      <c r="B28" s="7">
        <v>17</v>
      </c>
      <c r="C28" s="7"/>
      <c r="D28" s="8" t="s">
        <v>141</v>
      </c>
      <c r="E28" s="9" t="s">
        <v>11</v>
      </c>
      <c r="F28" s="10">
        <f t="shared" si="0"/>
        <v>4</v>
      </c>
      <c r="G28" s="10"/>
      <c r="H28" s="10"/>
      <c r="I28" s="10"/>
      <c r="J28" s="10"/>
      <c r="K28" s="10"/>
      <c r="L28" s="10"/>
      <c r="M28" s="10">
        <f>2*2</f>
        <v>4</v>
      </c>
      <c r="N28" s="10"/>
      <c r="O28" s="10"/>
      <c r="P28" s="10"/>
      <c r="Q28" s="10"/>
      <c r="S28" s="17"/>
    </row>
    <row r="29" spans="2:19" s="13" customFormat="1" ht="12" customHeight="1" x14ac:dyDescent="0.35">
      <c r="B29" s="7">
        <v>18</v>
      </c>
      <c r="C29" s="7"/>
      <c r="D29" s="8" t="s">
        <v>137</v>
      </c>
      <c r="E29" s="9" t="s">
        <v>11</v>
      </c>
      <c r="F29" s="10">
        <f t="shared" si="0"/>
        <v>18</v>
      </c>
      <c r="G29" s="10"/>
      <c r="H29" s="10"/>
      <c r="I29" s="10"/>
      <c r="J29" s="10"/>
      <c r="K29" s="10">
        <f>8*2</f>
        <v>16</v>
      </c>
      <c r="L29" s="10"/>
      <c r="M29" s="10"/>
      <c r="N29" s="10">
        <v>2</v>
      </c>
      <c r="O29" s="10"/>
      <c r="P29" s="10"/>
      <c r="Q29" s="10"/>
      <c r="S29" s="17"/>
    </row>
    <row r="30" spans="2:19" s="13" customFormat="1" ht="12.5" x14ac:dyDescent="0.35">
      <c r="B30" s="7">
        <v>19</v>
      </c>
      <c r="C30" s="7"/>
      <c r="D30" s="8" t="s">
        <v>128</v>
      </c>
      <c r="E30" s="9" t="s">
        <v>11</v>
      </c>
      <c r="F30" s="10">
        <f t="shared" si="0"/>
        <v>2</v>
      </c>
      <c r="G30" s="10"/>
      <c r="H30" s="10"/>
      <c r="I30" s="10">
        <v>2</v>
      </c>
      <c r="J30" s="10"/>
      <c r="K30" s="10"/>
      <c r="L30" s="10"/>
      <c r="M30" s="10"/>
      <c r="N30" s="10"/>
      <c r="O30" s="10"/>
      <c r="P30" s="10"/>
      <c r="Q30" s="10"/>
    </row>
    <row r="31" spans="2:19" s="13" customFormat="1" ht="12.5" x14ac:dyDescent="0.35">
      <c r="B31" s="7">
        <v>20</v>
      </c>
      <c r="C31" s="7"/>
      <c r="D31" s="8" t="s">
        <v>122</v>
      </c>
      <c r="E31" s="9" t="s">
        <v>11</v>
      </c>
      <c r="F31" s="10">
        <f t="shared" si="0"/>
        <v>8</v>
      </c>
      <c r="G31" s="10"/>
      <c r="H31" s="10">
        <v>2</v>
      </c>
      <c r="I31" s="10"/>
      <c r="J31" s="10"/>
      <c r="K31" s="10"/>
      <c r="L31" s="10">
        <f>2*2</f>
        <v>4</v>
      </c>
      <c r="M31" s="10"/>
      <c r="N31" s="10"/>
      <c r="O31" s="10">
        <v>2</v>
      </c>
      <c r="P31" s="10"/>
      <c r="Q31" s="10"/>
    </row>
    <row r="32" spans="2:19" s="13" customFormat="1" ht="12.5" x14ac:dyDescent="0.35">
      <c r="B32" s="7">
        <v>21</v>
      </c>
      <c r="C32" s="7"/>
      <c r="D32" s="8" t="s">
        <v>123</v>
      </c>
      <c r="E32" s="9" t="s">
        <v>11</v>
      </c>
      <c r="F32" s="10">
        <f t="shared" si="0"/>
        <v>4</v>
      </c>
      <c r="G32" s="10"/>
      <c r="H32" s="10">
        <v>4</v>
      </c>
      <c r="I32" s="10"/>
      <c r="J32" s="10"/>
      <c r="K32" s="10"/>
      <c r="L32" s="10"/>
      <c r="M32" s="10"/>
      <c r="N32" s="10"/>
      <c r="O32" s="10"/>
      <c r="P32" s="10"/>
      <c r="Q32" s="10"/>
    </row>
    <row r="33" spans="2:17" s="13" customFormat="1" ht="10.5" x14ac:dyDescent="0.35">
      <c r="B33" s="7">
        <v>22</v>
      </c>
      <c r="C33" s="7"/>
      <c r="D33" s="8" t="s">
        <v>133</v>
      </c>
      <c r="E33" s="9" t="s">
        <v>11</v>
      </c>
      <c r="F33" s="10">
        <f t="shared" si="0"/>
        <v>2</v>
      </c>
      <c r="G33" s="10"/>
      <c r="H33" s="10"/>
      <c r="I33" s="10"/>
      <c r="J33" s="10">
        <v>2</v>
      </c>
      <c r="K33" s="10"/>
      <c r="L33" s="10"/>
      <c r="M33" s="10"/>
      <c r="N33" s="10"/>
      <c r="O33" s="10"/>
      <c r="P33" s="10"/>
      <c r="Q33" s="10"/>
    </row>
    <row r="34" spans="2:17" s="13" customFormat="1" ht="10.5" x14ac:dyDescent="0.35">
      <c r="B34" s="7">
        <v>23</v>
      </c>
      <c r="C34" s="7"/>
      <c r="D34" s="8" t="s">
        <v>49</v>
      </c>
      <c r="E34" s="9" t="s">
        <v>11</v>
      </c>
      <c r="F34" s="10">
        <f t="shared" si="0"/>
        <v>4</v>
      </c>
      <c r="G34" s="10"/>
      <c r="H34" s="10"/>
      <c r="I34" s="10"/>
      <c r="J34" s="10">
        <f>2*2</f>
        <v>4</v>
      </c>
      <c r="K34" s="10"/>
      <c r="L34" s="10"/>
      <c r="M34" s="10"/>
      <c r="N34" s="10"/>
      <c r="O34" s="10"/>
      <c r="P34" s="10"/>
      <c r="Q34" s="10"/>
    </row>
    <row r="35" spans="2:17" s="13" customFormat="1" ht="10.5" x14ac:dyDescent="0.35">
      <c r="B35" s="7">
        <v>24</v>
      </c>
      <c r="C35" s="7"/>
      <c r="D35" s="8" t="s">
        <v>76</v>
      </c>
      <c r="E35" s="9" t="s">
        <v>11</v>
      </c>
      <c r="F35" s="10">
        <f t="shared" si="0"/>
        <v>16</v>
      </c>
      <c r="G35" s="10">
        <v>2</v>
      </c>
      <c r="H35" s="10">
        <v>2</v>
      </c>
      <c r="I35" s="10"/>
      <c r="J35" s="10"/>
      <c r="K35" s="10">
        <f>4*2</f>
        <v>8</v>
      </c>
      <c r="L35" s="10">
        <v>2</v>
      </c>
      <c r="M35" s="10"/>
      <c r="N35" s="10"/>
      <c r="O35" s="10">
        <v>2</v>
      </c>
      <c r="P35" s="10"/>
      <c r="Q35" s="10"/>
    </row>
    <row r="36" spans="2:17" s="13" customFormat="1" ht="10.5" x14ac:dyDescent="0.35">
      <c r="B36" s="7">
        <v>25</v>
      </c>
      <c r="C36" s="7"/>
      <c r="D36" s="8" t="s">
        <v>94</v>
      </c>
      <c r="E36" s="9" t="s">
        <v>11</v>
      </c>
      <c r="F36" s="10">
        <f t="shared" si="0"/>
        <v>2</v>
      </c>
      <c r="G36" s="10"/>
      <c r="H36" s="10"/>
      <c r="I36" s="10"/>
      <c r="J36" s="10"/>
      <c r="K36" s="10"/>
      <c r="L36" s="10"/>
      <c r="M36" s="10"/>
      <c r="N36" s="10"/>
      <c r="O36" s="10"/>
      <c r="P36" s="10">
        <v>2</v>
      </c>
      <c r="Q36" s="10"/>
    </row>
    <row r="37" spans="2:17" s="13" customFormat="1" ht="10.5" x14ac:dyDescent="0.35">
      <c r="B37" s="7">
        <v>26</v>
      </c>
      <c r="C37" s="7"/>
      <c r="D37" s="8" t="s">
        <v>95</v>
      </c>
      <c r="E37" s="9" t="s">
        <v>11</v>
      </c>
      <c r="F37" s="10">
        <f t="shared" si="0"/>
        <v>2</v>
      </c>
      <c r="G37" s="10"/>
      <c r="H37" s="10"/>
      <c r="I37" s="10"/>
      <c r="J37" s="10"/>
      <c r="K37" s="10"/>
      <c r="L37" s="10"/>
      <c r="M37" s="10"/>
      <c r="N37" s="10"/>
      <c r="O37" s="10"/>
      <c r="P37" s="10">
        <v>2</v>
      </c>
      <c r="Q37" s="10"/>
    </row>
    <row r="38" spans="2:17" s="13" customFormat="1" ht="10.5" x14ac:dyDescent="0.35">
      <c r="B38" s="7">
        <v>27</v>
      </c>
      <c r="C38" s="7"/>
      <c r="D38" s="8" t="s">
        <v>91</v>
      </c>
      <c r="E38" s="9" t="s">
        <v>11</v>
      </c>
      <c r="F38" s="10">
        <f t="shared" si="0"/>
        <v>4</v>
      </c>
      <c r="G38" s="10"/>
      <c r="H38" s="10"/>
      <c r="I38" s="10"/>
      <c r="J38" s="10"/>
      <c r="K38" s="10"/>
      <c r="L38" s="10">
        <v>2</v>
      </c>
      <c r="M38" s="10"/>
      <c r="N38" s="10"/>
      <c r="O38" s="10">
        <v>2</v>
      </c>
      <c r="P38" s="10"/>
      <c r="Q38" s="10"/>
    </row>
    <row r="39" spans="2:17" s="13" customFormat="1" ht="10.5" x14ac:dyDescent="0.35">
      <c r="B39" s="7">
        <v>28</v>
      </c>
      <c r="C39" s="7"/>
      <c r="D39" s="8" t="s">
        <v>145</v>
      </c>
      <c r="E39" s="9" t="s">
        <v>11</v>
      </c>
      <c r="F39" s="10">
        <f t="shared" si="0"/>
        <v>2</v>
      </c>
      <c r="G39" s="10"/>
      <c r="H39" s="10"/>
      <c r="I39" s="10"/>
      <c r="J39" s="10"/>
      <c r="K39" s="10"/>
      <c r="L39" s="10"/>
      <c r="M39" s="10"/>
      <c r="N39" s="10"/>
      <c r="O39" s="10">
        <v>2</v>
      </c>
      <c r="P39" s="10"/>
      <c r="Q39" s="10"/>
    </row>
    <row r="40" spans="2:17" s="13" customFormat="1" ht="10.5" x14ac:dyDescent="0.35">
      <c r="B40" s="7">
        <v>29</v>
      </c>
      <c r="C40" s="7"/>
      <c r="D40" s="8" t="s">
        <v>102</v>
      </c>
      <c r="E40" s="9" t="s">
        <v>11</v>
      </c>
      <c r="F40" s="10">
        <f t="shared" si="0"/>
        <v>2</v>
      </c>
      <c r="G40" s="10">
        <v>2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2:17" s="13" customFormat="1" ht="10.5" x14ac:dyDescent="0.35">
      <c r="B41" s="7">
        <v>30</v>
      </c>
      <c r="C41" s="7"/>
      <c r="D41" s="8" t="s">
        <v>146</v>
      </c>
      <c r="E41" s="9" t="s">
        <v>11</v>
      </c>
      <c r="F41" s="10">
        <f t="shared" si="0"/>
        <v>2</v>
      </c>
      <c r="G41" s="10"/>
      <c r="H41" s="10"/>
      <c r="I41" s="10"/>
      <c r="J41" s="10"/>
      <c r="K41" s="10"/>
      <c r="L41" s="10"/>
      <c r="M41" s="10"/>
      <c r="N41" s="10"/>
      <c r="O41" s="10">
        <v>2</v>
      </c>
      <c r="P41" s="10"/>
      <c r="Q41" s="10"/>
    </row>
    <row r="42" spans="2:17" s="13" customFormat="1" ht="10.5" x14ac:dyDescent="0.35">
      <c r="B42" s="7">
        <v>31</v>
      </c>
      <c r="C42" s="7"/>
      <c r="D42" s="8" t="s">
        <v>96</v>
      </c>
      <c r="E42" s="9" t="s">
        <v>11</v>
      </c>
      <c r="F42" s="10">
        <f t="shared" si="0"/>
        <v>2</v>
      </c>
      <c r="G42" s="10"/>
      <c r="H42" s="10"/>
      <c r="I42" s="10"/>
      <c r="J42" s="10"/>
      <c r="K42" s="10"/>
      <c r="L42" s="10"/>
      <c r="M42" s="10"/>
      <c r="N42" s="10"/>
      <c r="O42" s="10"/>
      <c r="P42" s="10">
        <v>2</v>
      </c>
      <c r="Q42" s="10"/>
    </row>
    <row r="43" spans="2:17" s="13" customFormat="1" ht="10.5" x14ac:dyDescent="0.35">
      <c r="B43" s="7">
        <v>32</v>
      </c>
      <c r="C43" s="7"/>
      <c r="D43" s="8" t="s">
        <v>77</v>
      </c>
      <c r="E43" s="9" t="s">
        <v>11</v>
      </c>
      <c r="F43" s="10">
        <f t="shared" si="0"/>
        <v>10</v>
      </c>
      <c r="G43" s="10">
        <v>2</v>
      </c>
      <c r="H43" s="10"/>
      <c r="I43" s="10"/>
      <c r="J43" s="10"/>
      <c r="K43" s="10">
        <f>4*2</f>
        <v>8</v>
      </c>
      <c r="L43" s="10"/>
      <c r="M43" s="10"/>
      <c r="N43" s="10"/>
      <c r="O43" s="10"/>
      <c r="P43" s="10"/>
      <c r="Q43" s="10"/>
    </row>
    <row r="44" spans="2:17" s="13" customFormat="1" ht="10.5" x14ac:dyDescent="0.35">
      <c r="B44" s="7">
        <v>33</v>
      </c>
      <c r="C44" s="7"/>
      <c r="D44" s="8" t="s">
        <v>148</v>
      </c>
      <c r="E44" s="9" t="s">
        <v>5</v>
      </c>
      <c r="F44" s="10">
        <f t="shared" si="0"/>
        <v>2</v>
      </c>
      <c r="G44" s="10"/>
      <c r="H44" s="10"/>
      <c r="I44" s="10"/>
      <c r="J44" s="10"/>
      <c r="K44" s="10"/>
      <c r="L44" s="10"/>
      <c r="M44" s="10"/>
      <c r="N44" s="10"/>
      <c r="O44" s="10">
        <v>2</v>
      </c>
      <c r="P44" s="10"/>
      <c r="Q44" s="10"/>
    </row>
    <row r="45" spans="2:17" s="13" customFormat="1" ht="10.5" x14ac:dyDescent="0.35">
      <c r="B45" s="7">
        <v>34</v>
      </c>
      <c r="C45" s="7"/>
      <c r="D45" s="8" t="s">
        <v>90</v>
      </c>
      <c r="E45" s="9" t="s">
        <v>5</v>
      </c>
      <c r="F45" s="10">
        <f t="shared" si="0"/>
        <v>26</v>
      </c>
      <c r="G45" s="10"/>
      <c r="H45" s="10"/>
      <c r="I45" s="10"/>
      <c r="J45" s="10"/>
      <c r="K45" s="10"/>
      <c r="L45" s="10"/>
      <c r="M45" s="10"/>
      <c r="N45" s="10"/>
      <c r="O45" s="10">
        <f>10*2</f>
        <v>20</v>
      </c>
      <c r="P45" s="10">
        <f>3*2</f>
        <v>6</v>
      </c>
      <c r="Q45" s="10"/>
    </row>
    <row r="46" spans="2:17" s="13" customFormat="1" ht="10.5" x14ac:dyDescent="0.35">
      <c r="B46" s="7">
        <v>35</v>
      </c>
      <c r="C46" s="7"/>
      <c r="D46" s="8" t="s">
        <v>147</v>
      </c>
      <c r="E46" s="9" t="s">
        <v>5</v>
      </c>
      <c r="F46" s="10">
        <f t="shared" si="0"/>
        <v>6</v>
      </c>
      <c r="G46" s="10"/>
      <c r="H46" s="10"/>
      <c r="I46" s="10"/>
      <c r="J46" s="10"/>
      <c r="K46" s="10"/>
      <c r="L46" s="10"/>
      <c r="M46" s="10"/>
      <c r="N46" s="10"/>
      <c r="O46" s="10">
        <v>2</v>
      </c>
      <c r="P46" s="10">
        <v>4</v>
      </c>
      <c r="Q46" s="10"/>
    </row>
    <row r="47" spans="2:17" s="13" customFormat="1" ht="10.5" x14ac:dyDescent="0.35">
      <c r="B47" s="7">
        <v>36</v>
      </c>
      <c r="C47" s="7"/>
      <c r="D47" s="8" t="s">
        <v>88</v>
      </c>
      <c r="E47" s="9" t="s">
        <v>5</v>
      </c>
      <c r="F47" s="10">
        <f t="shared" si="0"/>
        <v>6</v>
      </c>
      <c r="G47" s="10"/>
      <c r="H47" s="10"/>
      <c r="I47" s="10"/>
      <c r="J47" s="10"/>
      <c r="K47" s="10"/>
      <c r="L47" s="10"/>
      <c r="M47" s="10"/>
      <c r="N47" s="10"/>
      <c r="O47" s="10"/>
      <c r="P47" s="10">
        <f>3*2</f>
        <v>6</v>
      </c>
      <c r="Q47" s="10"/>
    </row>
    <row r="48" spans="2:17" s="13" customFormat="1" ht="10.5" x14ac:dyDescent="0.35">
      <c r="B48" s="7">
        <v>37</v>
      </c>
      <c r="C48" s="7"/>
      <c r="D48" s="8" t="s">
        <v>153</v>
      </c>
      <c r="E48" s="9" t="s">
        <v>5</v>
      </c>
      <c r="F48" s="10">
        <f t="shared" si="0"/>
        <v>2</v>
      </c>
      <c r="G48" s="10"/>
      <c r="H48" s="10"/>
      <c r="I48" s="10"/>
      <c r="J48" s="10"/>
      <c r="K48" s="10"/>
      <c r="L48" s="10"/>
      <c r="M48" s="10"/>
      <c r="N48" s="10"/>
      <c r="O48" s="10"/>
      <c r="P48" s="10">
        <v>2</v>
      </c>
      <c r="Q48" s="10"/>
    </row>
    <row r="49" spans="1:17" s="13" customFormat="1" ht="10.5" x14ac:dyDescent="0.35">
      <c r="B49" s="7">
        <v>38</v>
      </c>
      <c r="C49" s="7"/>
      <c r="D49" s="8" t="s">
        <v>84</v>
      </c>
      <c r="E49" s="9" t="s">
        <v>5</v>
      </c>
      <c r="F49" s="10">
        <f t="shared" si="0"/>
        <v>10</v>
      </c>
      <c r="G49" s="10"/>
      <c r="H49" s="10"/>
      <c r="I49" s="10"/>
      <c r="J49" s="10">
        <f>5*2</f>
        <v>10</v>
      </c>
      <c r="K49" s="10"/>
      <c r="L49" s="10"/>
      <c r="M49" s="10"/>
      <c r="N49" s="10"/>
      <c r="O49" s="10"/>
      <c r="P49" s="10"/>
      <c r="Q49" s="10"/>
    </row>
    <row r="50" spans="1:17" s="13" customFormat="1" ht="10.5" x14ac:dyDescent="0.35">
      <c r="B50" s="7">
        <v>39</v>
      </c>
      <c r="C50" s="7"/>
      <c r="D50" s="8" t="s">
        <v>134</v>
      </c>
      <c r="E50" s="9" t="s">
        <v>5</v>
      </c>
      <c r="F50" s="10">
        <f t="shared" si="0"/>
        <v>2</v>
      </c>
      <c r="G50" s="10"/>
      <c r="H50" s="10"/>
      <c r="I50" s="10"/>
      <c r="J50" s="10">
        <v>2</v>
      </c>
      <c r="K50" s="10"/>
      <c r="L50" s="10"/>
      <c r="M50" s="10"/>
      <c r="N50" s="10"/>
      <c r="O50" s="10"/>
      <c r="P50" s="10"/>
      <c r="Q50" s="10"/>
    </row>
    <row r="51" spans="1:17" s="13" customFormat="1" ht="10.5" x14ac:dyDescent="0.35">
      <c r="B51" s="7">
        <v>40</v>
      </c>
      <c r="C51" s="7"/>
      <c r="D51" s="8" t="s">
        <v>50</v>
      </c>
      <c r="E51" s="9" t="s">
        <v>5</v>
      </c>
      <c r="F51" s="10">
        <f t="shared" si="0"/>
        <v>24</v>
      </c>
      <c r="G51" s="10"/>
      <c r="H51" s="10"/>
      <c r="I51" s="10"/>
      <c r="J51" s="10">
        <f>5*2</f>
        <v>10</v>
      </c>
      <c r="K51" s="10"/>
      <c r="L51" s="10"/>
      <c r="M51" s="10">
        <v>8</v>
      </c>
      <c r="N51" s="10">
        <v>6</v>
      </c>
      <c r="O51" s="10"/>
      <c r="P51" s="10"/>
      <c r="Q51" s="10"/>
    </row>
    <row r="52" spans="1:17" s="13" customFormat="1" ht="10.5" x14ac:dyDescent="0.35">
      <c r="B52" s="7">
        <v>41</v>
      </c>
      <c r="C52" s="7"/>
      <c r="D52" s="8" t="s">
        <v>53</v>
      </c>
      <c r="E52" s="9" t="s">
        <v>5</v>
      </c>
      <c r="F52" s="10">
        <f t="shared" si="0"/>
        <v>84</v>
      </c>
      <c r="G52" s="10">
        <f>7*2</f>
        <v>14</v>
      </c>
      <c r="H52" s="10"/>
      <c r="I52" s="10">
        <f>4*2</f>
        <v>8</v>
      </c>
      <c r="J52" s="10"/>
      <c r="K52" s="10">
        <f>28*2</f>
        <v>56</v>
      </c>
      <c r="L52" s="10"/>
      <c r="M52" s="10"/>
      <c r="N52" s="10">
        <v>6</v>
      </c>
      <c r="O52" s="10"/>
      <c r="P52" s="10"/>
      <c r="Q52" s="10"/>
    </row>
    <row r="53" spans="1:17" s="13" customFormat="1" ht="10.5" x14ac:dyDescent="0.35">
      <c r="B53" s="7">
        <v>42</v>
      </c>
      <c r="C53" s="7"/>
      <c r="D53" s="8" t="s">
        <v>129</v>
      </c>
      <c r="E53" s="9" t="s">
        <v>5</v>
      </c>
      <c r="F53" s="10">
        <f t="shared" si="0"/>
        <v>6</v>
      </c>
      <c r="G53" s="10"/>
      <c r="H53" s="10"/>
      <c r="I53" s="10">
        <f>2*2</f>
        <v>4</v>
      </c>
      <c r="J53" s="10"/>
      <c r="K53" s="10">
        <v>2</v>
      </c>
      <c r="L53" s="10"/>
      <c r="M53" s="10"/>
      <c r="N53" s="10"/>
      <c r="O53" s="10"/>
      <c r="P53" s="10"/>
      <c r="Q53" s="10"/>
    </row>
    <row r="54" spans="1:17" s="13" customFormat="1" ht="10.5" x14ac:dyDescent="0.35">
      <c r="B54" s="7">
        <v>43</v>
      </c>
      <c r="C54" s="7"/>
      <c r="D54" s="8" t="s">
        <v>101</v>
      </c>
      <c r="E54" s="9" t="s">
        <v>5</v>
      </c>
      <c r="F54" s="10">
        <f t="shared" si="0"/>
        <v>2</v>
      </c>
      <c r="G54" s="10">
        <v>2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s="13" customFormat="1" ht="10.5" x14ac:dyDescent="0.35">
      <c r="B55" s="7">
        <v>44</v>
      </c>
      <c r="C55" s="7"/>
      <c r="D55" s="8" t="s">
        <v>78</v>
      </c>
      <c r="E55" s="9" t="s">
        <v>5</v>
      </c>
      <c r="F55" s="10">
        <f t="shared" si="0"/>
        <v>68</v>
      </c>
      <c r="G55" s="10">
        <f>2*2</f>
        <v>4</v>
      </c>
      <c r="H55" s="10">
        <f>11*2</f>
        <v>22</v>
      </c>
      <c r="I55" s="10"/>
      <c r="J55" s="10"/>
      <c r="K55" s="10">
        <f>8*2</f>
        <v>16</v>
      </c>
      <c r="L55" s="10">
        <f>8*2</f>
        <v>16</v>
      </c>
      <c r="M55" s="10"/>
      <c r="N55" s="10"/>
      <c r="O55" s="10">
        <f>5*2</f>
        <v>10</v>
      </c>
      <c r="P55" s="10"/>
      <c r="Q55" s="10"/>
    </row>
    <row r="56" spans="1:17" s="13" customFormat="1" ht="10.5" x14ac:dyDescent="0.35">
      <c r="B56" s="7">
        <v>45</v>
      </c>
      <c r="C56" s="7"/>
      <c r="D56" s="8" t="s">
        <v>140</v>
      </c>
      <c r="E56" s="9" t="s">
        <v>5</v>
      </c>
      <c r="F56" s="10">
        <f t="shared" si="0"/>
        <v>2</v>
      </c>
      <c r="G56" s="10"/>
      <c r="H56" s="10"/>
      <c r="I56" s="10"/>
      <c r="J56" s="10"/>
      <c r="K56" s="10"/>
      <c r="L56" s="10">
        <v>2</v>
      </c>
      <c r="M56" s="10"/>
      <c r="N56" s="10"/>
      <c r="O56" s="10"/>
      <c r="P56" s="10"/>
      <c r="Q56" s="10"/>
    </row>
    <row r="57" spans="1:17" s="13" customFormat="1" ht="10.5" x14ac:dyDescent="0.35">
      <c r="B57" s="7">
        <v>46</v>
      </c>
      <c r="C57" s="7"/>
      <c r="D57" s="8" t="s">
        <v>85</v>
      </c>
      <c r="E57" s="9" t="s">
        <v>11</v>
      </c>
      <c r="F57" s="10">
        <f t="shared" si="0"/>
        <v>2</v>
      </c>
      <c r="G57" s="10"/>
      <c r="H57" s="10"/>
      <c r="I57" s="10"/>
      <c r="J57" s="10">
        <v>2</v>
      </c>
      <c r="K57" s="10"/>
      <c r="L57" s="10"/>
      <c r="M57" s="10"/>
      <c r="N57" s="10"/>
      <c r="O57" s="10"/>
      <c r="P57" s="10"/>
      <c r="Q57" s="10"/>
    </row>
    <row r="58" spans="1:17" s="13" customFormat="1" ht="10.5" x14ac:dyDescent="0.35">
      <c r="B58" s="7">
        <v>47</v>
      </c>
      <c r="C58" s="7"/>
      <c r="D58" s="8" t="s">
        <v>51</v>
      </c>
      <c r="E58" s="9" t="s">
        <v>11</v>
      </c>
      <c r="F58" s="10">
        <f t="shared" si="0"/>
        <v>12</v>
      </c>
      <c r="G58" s="10"/>
      <c r="H58" s="10"/>
      <c r="I58" s="10"/>
      <c r="J58" s="10">
        <v>4</v>
      </c>
      <c r="K58" s="10"/>
      <c r="L58" s="10"/>
      <c r="M58" s="10">
        <v>4</v>
      </c>
      <c r="N58" s="10">
        <v>4</v>
      </c>
      <c r="O58" s="10"/>
      <c r="P58" s="10"/>
      <c r="Q58" s="10"/>
    </row>
    <row r="59" spans="1:17" s="13" customFormat="1" ht="10.5" x14ac:dyDescent="0.35">
      <c r="A59" s="13" t="s">
        <v>23</v>
      </c>
      <c r="B59" s="7">
        <v>48</v>
      </c>
      <c r="C59" s="7"/>
      <c r="D59" s="8" t="s">
        <v>24</v>
      </c>
      <c r="E59" s="9" t="s">
        <v>11</v>
      </c>
      <c r="F59" s="10">
        <f t="shared" si="0"/>
        <v>4</v>
      </c>
      <c r="G59" s="10"/>
      <c r="H59" s="10"/>
      <c r="I59" s="10"/>
      <c r="J59" s="10"/>
      <c r="K59" s="10"/>
      <c r="L59" s="10"/>
      <c r="M59" s="10"/>
      <c r="N59" s="10">
        <v>4</v>
      </c>
      <c r="O59" s="10"/>
      <c r="P59" s="10"/>
      <c r="Q59" s="10"/>
    </row>
    <row r="60" spans="1:17" s="13" customFormat="1" ht="10.5" x14ac:dyDescent="0.35">
      <c r="B60" s="7">
        <v>49</v>
      </c>
      <c r="C60" s="7"/>
      <c r="D60" s="8" t="s">
        <v>79</v>
      </c>
      <c r="E60" s="9" t="s">
        <v>11</v>
      </c>
      <c r="F60" s="10">
        <f t="shared" si="0"/>
        <v>18</v>
      </c>
      <c r="G60" s="10">
        <v>2</v>
      </c>
      <c r="H60" s="10">
        <v>4</v>
      </c>
      <c r="I60" s="10"/>
      <c r="J60" s="10"/>
      <c r="K60" s="10">
        <f>4*2</f>
        <v>8</v>
      </c>
      <c r="L60" s="10">
        <v>2</v>
      </c>
      <c r="M60" s="10"/>
      <c r="N60" s="10"/>
      <c r="O60" s="10">
        <v>2</v>
      </c>
      <c r="P60" s="10"/>
      <c r="Q60" s="10"/>
    </row>
    <row r="61" spans="1:17" s="13" customFormat="1" ht="10.5" x14ac:dyDescent="0.35">
      <c r="B61" s="7">
        <v>50</v>
      </c>
      <c r="C61" s="7"/>
      <c r="D61" s="8" t="s">
        <v>86</v>
      </c>
      <c r="E61" s="9" t="s">
        <v>11</v>
      </c>
      <c r="F61" s="10">
        <f t="shared" ref="F61:F111" si="1">SUM(G61:P61)</f>
        <v>2</v>
      </c>
      <c r="G61" s="10"/>
      <c r="H61" s="10"/>
      <c r="I61" s="10"/>
      <c r="J61" s="10">
        <v>2</v>
      </c>
      <c r="K61" s="10"/>
      <c r="L61" s="10"/>
      <c r="M61" s="10"/>
      <c r="N61" s="10"/>
      <c r="O61" s="10"/>
      <c r="P61" s="10"/>
      <c r="Q61" s="10"/>
    </row>
    <row r="62" spans="1:17" s="13" customFormat="1" ht="10.5" x14ac:dyDescent="0.35">
      <c r="B62" s="7">
        <v>51</v>
      </c>
      <c r="C62" s="7"/>
      <c r="D62" s="8" t="s">
        <v>52</v>
      </c>
      <c r="E62" s="9" t="s">
        <v>11</v>
      </c>
      <c r="F62" s="10">
        <f t="shared" si="1"/>
        <v>12</v>
      </c>
      <c r="G62" s="10"/>
      <c r="H62" s="10"/>
      <c r="I62" s="10"/>
      <c r="J62" s="10">
        <v>4</v>
      </c>
      <c r="K62" s="10"/>
      <c r="L62" s="10"/>
      <c r="M62" s="10">
        <v>4</v>
      </c>
      <c r="N62" s="10">
        <v>4</v>
      </c>
      <c r="O62" s="10"/>
      <c r="P62" s="10"/>
      <c r="Q62" s="10"/>
    </row>
    <row r="63" spans="1:17" s="13" customFormat="1" ht="10.5" x14ac:dyDescent="0.35">
      <c r="B63" s="7">
        <v>52</v>
      </c>
      <c r="C63" s="7"/>
      <c r="D63" s="8" t="s">
        <v>22</v>
      </c>
      <c r="E63" s="9" t="s">
        <v>11</v>
      </c>
      <c r="F63" s="10">
        <f t="shared" si="1"/>
        <v>4</v>
      </c>
      <c r="G63" s="10"/>
      <c r="H63" s="10"/>
      <c r="I63" s="10"/>
      <c r="J63" s="10"/>
      <c r="K63" s="10"/>
      <c r="L63" s="10"/>
      <c r="M63" s="10"/>
      <c r="N63" s="10">
        <v>4</v>
      </c>
      <c r="O63" s="10"/>
      <c r="P63" s="10"/>
      <c r="Q63" s="10"/>
    </row>
    <row r="64" spans="1:17" s="13" customFormat="1" ht="10.5" x14ac:dyDescent="0.35">
      <c r="B64" s="7">
        <v>53</v>
      </c>
      <c r="C64" s="7"/>
      <c r="D64" s="8" t="s">
        <v>80</v>
      </c>
      <c r="E64" s="9" t="s">
        <v>11</v>
      </c>
      <c r="F64" s="10">
        <f t="shared" si="1"/>
        <v>18</v>
      </c>
      <c r="G64" s="10">
        <v>2</v>
      </c>
      <c r="H64" s="10">
        <v>4</v>
      </c>
      <c r="I64" s="10"/>
      <c r="J64" s="10"/>
      <c r="K64" s="10">
        <f>4*2</f>
        <v>8</v>
      </c>
      <c r="L64" s="10">
        <v>2</v>
      </c>
      <c r="M64" s="10"/>
      <c r="N64" s="10"/>
      <c r="O64" s="10">
        <v>2</v>
      </c>
      <c r="P64" s="10"/>
      <c r="Q64" s="10"/>
    </row>
    <row r="65" spans="2:19" s="13" customFormat="1" ht="10.5" x14ac:dyDescent="0.35">
      <c r="B65" s="7">
        <v>54</v>
      </c>
      <c r="C65" s="7"/>
      <c r="D65" s="8" t="s">
        <v>138</v>
      </c>
      <c r="E65" s="9" t="s">
        <v>11</v>
      </c>
      <c r="F65" s="10">
        <f t="shared" si="1"/>
        <v>2</v>
      </c>
      <c r="G65" s="10"/>
      <c r="H65" s="10"/>
      <c r="I65" s="10"/>
      <c r="J65" s="10"/>
      <c r="K65" s="10">
        <v>2</v>
      </c>
      <c r="L65" s="10"/>
      <c r="M65" s="10"/>
      <c r="N65" s="10"/>
      <c r="O65" s="10"/>
      <c r="P65" s="10"/>
      <c r="Q65" s="10"/>
    </row>
    <row r="66" spans="2:19" s="13" customFormat="1" ht="20" x14ac:dyDescent="0.35">
      <c r="B66" s="7">
        <v>55</v>
      </c>
      <c r="C66" s="7"/>
      <c r="D66" s="8" t="s">
        <v>16</v>
      </c>
      <c r="E66" s="9" t="s">
        <v>10</v>
      </c>
      <c r="F66" s="10">
        <f t="shared" si="1"/>
        <v>1082</v>
      </c>
      <c r="G66" s="10">
        <f t="shared" ref="G66:P66" si="2">SUM(G17:G22)</f>
        <v>100</v>
      </c>
      <c r="H66" s="10">
        <f t="shared" si="2"/>
        <v>120</v>
      </c>
      <c r="I66" s="10">
        <f t="shared" si="2"/>
        <v>82</v>
      </c>
      <c r="J66" s="10">
        <f t="shared" si="2"/>
        <v>86</v>
      </c>
      <c r="K66" s="10">
        <f t="shared" si="2"/>
        <v>306</v>
      </c>
      <c r="L66" s="10">
        <f t="shared" si="2"/>
        <v>92</v>
      </c>
      <c r="M66" s="10">
        <f t="shared" si="2"/>
        <v>46</v>
      </c>
      <c r="N66" s="10">
        <f t="shared" si="2"/>
        <v>100</v>
      </c>
      <c r="O66" s="10">
        <f t="shared" si="2"/>
        <v>94</v>
      </c>
      <c r="P66" s="10">
        <f t="shared" si="2"/>
        <v>56</v>
      </c>
      <c r="Q66" s="10"/>
    </row>
    <row r="67" spans="2:19" s="13" customFormat="1" ht="12" customHeight="1" x14ac:dyDescent="0.35">
      <c r="B67" s="7">
        <v>56</v>
      </c>
      <c r="C67" s="7"/>
      <c r="D67" s="8" t="s">
        <v>15</v>
      </c>
      <c r="E67" s="9" t="s">
        <v>10</v>
      </c>
      <c r="F67" s="10">
        <f t="shared" si="1"/>
        <v>1082</v>
      </c>
      <c r="G67" s="10">
        <f t="shared" ref="G67:P67" si="3">G66</f>
        <v>100</v>
      </c>
      <c r="H67" s="10">
        <f t="shared" si="3"/>
        <v>120</v>
      </c>
      <c r="I67" s="10">
        <f t="shared" si="3"/>
        <v>82</v>
      </c>
      <c r="J67" s="10">
        <f t="shared" si="3"/>
        <v>86</v>
      </c>
      <c r="K67" s="10">
        <f t="shared" si="3"/>
        <v>306</v>
      </c>
      <c r="L67" s="10">
        <f t="shared" si="3"/>
        <v>92</v>
      </c>
      <c r="M67" s="10">
        <f t="shared" si="3"/>
        <v>46</v>
      </c>
      <c r="N67" s="10">
        <f t="shared" si="3"/>
        <v>100</v>
      </c>
      <c r="O67" s="10">
        <f t="shared" si="3"/>
        <v>94</v>
      </c>
      <c r="P67" s="10">
        <f t="shared" si="3"/>
        <v>56</v>
      </c>
      <c r="Q67" s="10"/>
    </row>
    <row r="68" spans="2:19" s="21" customFormat="1" ht="30" x14ac:dyDescent="0.35">
      <c r="B68" s="7">
        <v>57</v>
      </c>
      <c r="C68" s="18"/>
      <c r="D68" s="19" t="s">
        <v>92</v>
      </c>
      <c r="E68" s="9" t="s">
        <v>5</v>
      </c>
      <c r="F68" s="10">
        <f t="shared" si="1"/>
        <v>238</v>
      </c>
      <c r="G68" s="20">
        <f t="shared" ref="G68:P68" si="4">SUM(G44:G55)</f>
        <v>20</v>
      </c>
      <c r="H68" s="20">
        <f t="shared" si="4"/>
        <v>22</v>
      </c>
      <c r="I68" s="20">
        <f t="shared" si="4"/>
        <v>12</v>
      </c>
      <c r="J68" s="20">
        <f t="shared" si="4"/>
        <v>22</v>
      </c>
      <c r="K68" s="20">
        <f t="shared" si="4"/>
        <v>74</v>
      </c>
      <c r="L68" s="20">
        <f t="shared" si="4"/>
        <v>16</v>
      </c>
      <c r="M68" s="20">
        <f t="shared" si="4"/>
        <v>8</v>
      </c>
      <c r="N68" s="20">
        <f t="shared" si="4"/>
        <v>12</v>
      </c>
      <c r="O68" s="20">
        <f t="shared" si="4"/>
        <v>34</v>
      </c>
      <c r="P68" s="20">
        <f t="shared" si="4"/>
        <v>18</v>
      </c>
      <c r="Q68" s="20"/>
    </row>
    <row r="69" spans="2:19" s="21" customFormat="1" ht="27.5" customHeight="1" x14ac:dyDescent="0.35">
      <c r="B69" s="7">
        <v>58</v>
      </c>
      <c r="C69" s="18"/>
      <c r="D69" s="19" t="s">
        <v>93</v>
      </c>
      <c r="E69" s="9" t="s">
        <v>10</v>
      </c>
      <c r="F69" s="10">
        <f t="shared" si="1"/>
        <v>1082</v>
      </c>
      <c r="G69" s="20">
        <f t="shared" ref="G69:P69" si="5">G67</f>
        <v>100</v>
      </c>
      <c r="H69" s="20">
        <f t="shared" si="5"/>
        <v>120</v>
      </c>
      <c r="I69" s="20">
        <f t="shared" si="5"/>
        <v>82</v>
      </c>
      <c r="J69" s="20">
        <f t="shared" si="5"/>
        <v>86</v>
      </c>
      <c r="K69" s="20">
        <f t="shared" si="5"/>
        <v>306</v>
      </c>
      <c r="L69" s="20">
        <f t="shared" si="5"/>
        <v>92</v>
      </c>
      <c r="M69" s="20">
        <f t="shared" si="5"/>
        <v>46</v>
      </c>
      <c r="N69" s="20">
        <f t="shared" si="5"/>
        <v>100</v>
      </c>
      <c r="O69" s="20">
        <f t="shared" si="5"/>
        <v>94</v>
      </c>
      <c r="P69" s="20">
        <f t="shared" si="5"/>
        <v>56</v>
      </c>
      <c r="Q69" s="20"/>
    </row>
    <row r="70" spans="2:19" s="21" customFormat="1" ht="30.5" x14ac:dyDescent="0.35">
      <c r="B70" s="7">
        <v>59</v>
      </c>
      <c r="C70" s="18"/>
      <c r="D70" s="58" t="s">
        <v>142</v>
      </c>
      <c r="E70" s="9" t="s">
        <v>17</v>
      </c>
      <c r="F70" s="10">
        <f t="shared" si="1"/>
        <v>4</v>
      </c>
      <c r="G70" s="20"/>
      <c r="H70" s="20"/>
      <c r="I70" s="20"/>
      <c r="J70" s="20"/>
      <c r="K70" s="20"/>
      <c r="L70" s="20"/>
      <c r="M70" s="20">
        <v>4</v>
      </c>
      <c r="N70" s="20"/>
      <c r="O70" s="20"/>
      <c r="P70" s="20"/>
      <c r="Q70" s="20"/>
    </row>
    <row r="71" spans="2:19" s="21" customFormat="1" ht="30.5" x14ac:dyDescent="0.35">
      <c r="B71" s="7">
        <v>60</v>
      </c>
      <c r="C71" s="18"/>
      <c r="D71" s="58" t="s">
        <v>103</v>
      </c>
      <c r="E71" s="9" t="s">
        <v>17</v>
      </c>
      <c r="F71" s="10">
        <f t="shared" si="1"/>
        <v>16</v>
      </c>
      <c r="G71" s="20">
        <v>2</v>
      </c>
      <c r="H71" s="20">
        <v>2</v>
      </c>
      <c r="I71" s="20"/>
      <c r="J71" s="20"/>
      <c r="K71" s="20">
        <v>8</v>
      </c>
      <c r="L71" s="20">
        <v>2</v>
      </c>
      <c r="M71" s="20"/>
      <c r="N71" s="20"/>
      <c r="O71" s="20">
        <v>2</v>
      </c>
      <c r="P71" s="20"/>
      <c r="Q71" s="20"/>
    </row>
    <row r="72" spans="2:19" s="13" customFormat="1" ht="12" customHeight="1" x14ac:dyDescent="0.2">
      <c r="B72" s="7">
        <v>61</v>
      </c>
      <c r="C72" s="7"/>
      <c r="D72" s="8" t="s">
        <v>56</v>
      </c>
      <c r="E72" s="9" t="s">
        <v>11</v>
      </c>
      <c r="F72" s="10">
        <f t="shared" si="1"/>
        <v>2</v>
      </c>
      <c r="G72" s="20"/>
      <c r="H72" s="20"/>
      <c r="I72" s="20"/>
      <c r="J72" s="20"/>
      <c r="K72" s="20"/>
      <c r="L72" s="20"/>
      <c r="M72" s="20">
        <v>2</v>
      </c>
      <c r="N72" s="20"/>
      <c r="O72" s="20"/>
      <c r="P72" s="20"/>
      <c r="Q72" s="20"/>
      <c r="R72" s="23"/>
      <c r="S72" s="1"/>
    </row>
    <row r="73" spans="2:19" s="13" customFormat="1" ht="10.5" x14ac:dyDescent="0.2">
      <c r="B73" s="7">
        <v>62</v>
      </c>
      <c r="C73" s="7"/>
      <c r="D73" s="8" t="s">
        <v>54</v>
      </c>
      <c r="E73" s="9" t="s">
        <v>11</v>
      </c>
      <c r="F73" s="10">
        <f t="shared" si="1"/>
        <v>16</v>
      </c>
      <c r="G73" s="20">
        <v>2</v>
      </c>
      <c r="H73" s="20">
        <v>2</v>
      </c>
      <c r="I73" s="20"/>
      <c r="J73" s="20"/>
      <c r="K73" s="20">
        <f>2*4</f>
        <v>8</v>
      </c>
      <c r="L73" s="20">
        <v>2</v>
      </c>
      <c r="M73" s="20"/>
      <c r="N73" s="20"/>
      <c r="O73" s="20">
        <v>2</v>
      </c>
      <c r="P73" s="20"/>
      <c r="Q73" s="20"/>
      <c r="R73" s="23"/>
      <c r="S73" s="1"/>
    </row>
    <row r="74" spans="2:19" s="13" customFormat="1" ht="10.5" x14ac:dyDescent="0.2">
      <c r="B74" s="7">
        <v>63</v>
      </c>
      <c r="C74" s="7"/>
      <c r="D74" s="8" t="s">
        <v>55</v>
      </c>
      <c r="E74" s="9" t="s">
        <v>11</v>
      </c>
      <c r="F74" s="10">
        <f t="shared" si="1"/>
        <v>18</v>
      </c>
      <c r="G74" s="20">
        <v>2</v>
      </c>
      <c r="H74" s="20">
        <v>2</v>
      </c>
      <c r="I74" s="20"/>
      <c r="J74" s="20"/>
      <c r="K74" s="20">
        <v>8</v>
      </c>
      <c r="L74" s="20">
        <v>2</v>
      </c>
      <c r="M74" s="20">
        <v>2</v>
      </c>
      <c r="N74" s="20"/>
      <c r="O74" s="20">
        <v>2</v>
      </c>
      <c r="P74" s="20"/>
      <c r="Q74" s="20"/>
      <c r="R74" s="23"/>
      <c r="S74" s="1"/>
    </row>
    <row r="75" spans="2:19" s="13" customFormat="1" ht="11" customHeight="1" x14ac:dyDescent="0.35">
      <c r="B75" s="14"/>
      <c r="C75" s="14"/>
      <c r="D75" s="5" t="s">
        <v>104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S75" s="17"/>
    </row>
    <row r="76" spans="2:19" s="13" customFormat="1" ht="30" x14ac:dyDescent="0.2">
      <c r="B76" s="7">
        <v>64</v>
      </c>
      <c r="C76" s="7"/>
      <c r="D76" s="39" t="s">
        <v>105</v>
      </c>
      <c r="E76" s="52"/>
      <c r="F76" s="1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3"/>
      <c r="S76" s="1"/>
    </row>
    <row r="77" spans="2:19" s="13" customFormat="1" ht="10.5" x14ac:dyDescent="0.2">
      <c r="B77" s="7">
        <v>65</v>
      </c>
      <c r="C77" s="7"/>
      <c r="D77" s="59" t="s">
        <v>150</v>
      </c>
      <c r="E77" s="52" t="s">
        <v>10</v>
      </c>
      <c r="F77" s="10">
        <f t="shared" si="1"/>
        <v>10</v>
      </c>
      <c r="G77" s="20"/>
      <c r="H77" s="20"/>
      <c r="I77" s="20"/>
      <c r="J77" s="20"/>
      <c r="K77" s="20"/>
      <c r="L77" s="20"/>
      <c r="M77" s="20"/>
      <c r="N77" s="20"/>
      <c r="O77" s="20">
        <f>5*2</f>
        <v>10</v>
      </c>
      <c r="P77" s="20"/>
      <c r="Q77" s="20"/>
      <c r="R77" s="23"/>
      <c r="S77" s="1"/>
    </row>
    <row r="78" spans="2:19" s="13" customFormat="1" ht="10.5" x14ac:dyDescent="0.2">
      <c r="B78" s="7">
        <v>66</v>
      </c>
      <c r="C78" s="7"/>
      <c r="D78" s="59" t="s">
        <v>149</v>
      </c>
      <c r="E78" s="52" t="s">
        <v>10</v>
      </c>
      <c r="F78" s="10">
        <f t="shared" si="1"/>
        <v>10</v>
      </c>
      <c r="G78" s="20"/>
      <c r="H78" s="20"/>
      <c r="I78" s="20"/>
      <c r="J78" s="20"/>
      <c r="K78" s="20"/>
      <c r="L78" s="20"/>
      <c r="M78" s="20"/>
      <c r="N78" s="20"/>
      <c r="O78" s="20">
        <f>5*2</f>
        <v>10</v>
      </c>
      <c r="P78" s="20"/>
      <c r="Q78" s="20"/>
      <c r="R78" s="23"/>
      <c r="S78" s="1"/>
    </row>
    <row r="79" spans="2:19" s="13" customFormat="1" ht="40" customHeight="1" x14ac:dyDescent="0.2">
      <c r="B79" s="7">
        <v>67</v>
      </c>
      <c r="C79" s="7"/>
      <c r="D79" s="39" t="s">
        <v>106</v>
      </c>
      <c r="E79" s="40"/>
      <c r="F79" s="1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3"/>
      <c r="S79" s="1"/>
    </row>
    <row r="80" spans="2:19" s="13" customFormat="1" ht="10.5" x14ac:dyDescent="0.2">
      <c r="B80" s="7">
        <v>68</v>
      </c>
      <c r="C80" s="7"/>
      <c r="D80" s="59" t="s">
        <v>151</v>
      </c>
      <c r="E80" s="40" t="s">
        <v>10</v>
      </c>
      <c r="F80" s="10">
        <f t="shared" si="1"/>
        <v>30</v>
      </c>
      <c r="G80" s="20"/>
      <c r="H80" s="20"/>
      <c r="I80" s="20"/>
      <c r="J80" s="20"/>
      <c r="K80" s="20"/>
      <c r="L80" s="20"/>
      <c r="M80" s="20"/>
      <c r="N80" s="20"/>
      <c r="O80" s="20">
        <f>15*2</f>
        <v>30</v>
      </c>
      <c r="P80" s="20"/>
      <c r="Q80" s="20"/>
      <c r="R80" s="23"/>
      <c r="S80" s="1"/>
    </row>
    <row r="81" spans="2:19" s="13" customFormat="1" ht="10.5" x14ac:dyDescent="0.2">
      <c r="B81" s="7">
        <v>69</v>
      </c>
      <c r="C81" s="7"/>
      <c r="D81" s="59" t="s">
        <v>107</v>
      </c>
      <c r="E81" s="40" t="s">
        <v>10</v>
      </c>
      <c r="F81" s="10">
        <f t="shared" si="1"/>
        <v>50</v>
      </c>
      <c r="G81" s="20"/>
      <c r="H81" s="20"/>
      <c r="I81" s="20"/>
      <c r="J81" s="20"/>
      <c r="K81" s="20"/>
      <c r="L81" s="20"/>
      <c r="M81" s="20"/>
      <c r="N81" s="20"/>
      <c r="O81" s="20">
        <f>25*2</f>
        <v>50</v>
      </c>
      <c r="P81" s="20"/>
      <c r="Q81" s="20"/>
      <c r="R81" s="23"/>
      <c r="S81" s="1"/>
    </row>
    <row r="82" spans="2:19" s="13" customFormat="1" ht="10.5" x14ac:dyDescent="0.2">
      <c r="B82" s="7">
        <v>70</v>
      </c>
      <c r="C82" s="7"/>
      <c r="D82" s="59" t="s">
        <v>130</v>
      </c>
      <c r="E82" s="40" t="s">
        <v>10</v>
      </c>
      <c r="F82" s="10">
        <f t="shared" si="1"/>
        <v>82</v>
      </c>
      <c r="G82" s="20"/>
      <c r="H82" s="20"/>
      <c r="I82" s="20">
        <f>41*2</f>
        <v>82</v>
      </c>
      <c r="J82" s="20"/>
      <c r="K82" s="20"/>
      <c r="L82" s="20"/>
      <c r="M82" s="20"/>
      <c r="N82" s="20"/>
      <c r="O82" s="20"/>
      <c r="P82" s="20"/>
      <c r="Q82" s="20"/>
      <c r="R82" s="23"/>
      <c r="S82" s="1"/>
    </row>
    <row r="83" spans="2:19" s="13" customFormat="1" ht="10.5" x14ac:dyDescent="0.2">
      <c r="B83" s="7">
        <v>71</v>
      </c>
      <c r="C83" s="7"/>
      <c r="D83" s="59" t="s">
        <v>135</v>
      </c>
      <c r="E83" s="40" t="s">
        <v>10</v>
      </c>
      <c r="F83" s="10">
        <f t="shared" si="1"/>
        <v>44</v>
      </c>
      <c r="G83" s="20"/>
      <c r="H83" s="20"/>
      <c r="I83" s="20"/>
      <c r="J83" s="20">
        <f>22*2</f>
        <v>44</v>
      </c>
      <c r="K83" s="20"/>
      <c r="L83" s="20"/>
      <c r="M83" s="20"/>
      <c r="N83" s="20"/>
      <c r="O83" s="20"/>
      <c r="P83" s="20"/>
      <c r="Q83" s="20"/>
      <c r="R83" s="23"/>
      <c r="S83" s="1"/>
    </row>
    <row r="84" spans="2:19" s="13" customFormat="1" ht="10.5" x14ac:dyDescent="0.2">
      <c r="B84" s="7">
        <v>72</v>
      </c>
      <c r="C84" s="7"/>
      <c r="D84" s="59" t="s">
        <v>136</v>
      </c>
      <c r="E84" s="40" t="s">
        <v>10</v>
      </c>
      <c r="F84" s="10">
        <f t="shared" si="1"/>
        <v>92</v>
      </c>
      <c r="G84" s="20"/>
      <c r="H84" s="20"/>
      <c r="I84" s="20"/>
      <c r="J84" s="20">
        <f>21*2</f>
        <v>42</v>
      </c>
      <c r="K84" s="20"/>
      <c r="L84" s="20"/>
      <c r="M84" s="20"/>
      <c r="N84" s="20">
        <f>25*2</f>
        <v>50</v>
      </c>
      <c r="O84" s="20"/>
      <c r="P84" s="20"/>
      <c r="Q84" s="20"/>
      <c r="R84" s="23"/>
      <c r="S84" s="1"/>
    </row>
    <row r="85" spans="2:19" s="13" customFormat="1" ht="10.5" x14ac:dyDescent="0.2">
      <c r="B85" s="7">
        <v>73</v>
      </c>
      <c r="C85" s="7"/>
      <c r="D85" s="59" t="s">
        <v>120</v>
      </c>
      <c r="E85" s="40" t="s">
        <v>10</v>
      </c>
      <c r="F85" s="10">
        <f t="shared" si="1"/>
        <v>548</v>
      </c>
      <c r="G85" s="20">
        <f>45*2</f>
        <v>90</v>
      </c>
      <c r="H85" s="20"/>
      <c r="I85" s="20"/>
      <c r="J85" s="20"/>
      <c r="K85" s="20">
        <f>135*2</f>
        <v>270</v>
      </c>
      <c r="L85" s="20">
        <f>46*2</f>
        <v>92</v>
      </c>
      <c r="M85" s="20">
        <f>23*2</f>
        <v>46</v>
      </c>
      <c r="N85" s="20">
        <f>25*2</f>
        <v>50</v>
      </c>
      <c r="O85" s="20"/>
      <c r="P85" s="20"/>
      <c r="Q85" s="20"/>
      <c r="R85" s="23"/>
      <c r="S85" s="1"/>
    </row>
    <row r="86" spans="2:19" s="13" customFormat="1" ht="10.5" x14ac:dyDescent="0.2">
      <c r="B86" s="7">
        <v>74</v>
      </c>
      <c r="C86" s="7"/>
      <c r="D86" s="59" t="s">
        <v>124</v>
      </c>
      <c r="E86" s="40" t="s">
        <v>10</v>
      </c>
      <c r="F86" s="10">
        <f t="shared" si="1"/>
        <v>120</v>
      </c>
      <c r="G86" s="20"/>
      <c r="H86" s="20">
        <f>60*2</f>
        <v>120</v>
      </c>
      <c r="I86" s="20"/>
      <c r="J86" s="20"/>
      <c r="K86" s="20"/>
      <c r="L86" s="20"/>
      <c r="M86" s="20"/>
      <c r="N86" s="20"/>
      <c r="O86" s="20"/>
      <c r="P86" s="20"/>
      <c r="Q86" s="20"/>
      <c r="R86" s="23"/>
      <c r="S86" s="1"/>
    </row>
    <row r="87" spans="2:19" s="13" customFormat="1" ht="10.5" x14ac:dyDescent="0.2">
      <c r="B87" s="7">
        <v>75</v>
      </c>
      <c r="C87" s="7"/>
      <c r="D87" s="59" t="s">
        <v>121</v>
      </c>
      <c r="E87" s="40" t="s">
        <v>10</v>
      </c>
      <c r="F87" s="10">
        <f t="shared" si="1"/>
        <v>46</v>
      </c>
      <c r="G87" s="20">
        <f>5*2</f>
        <v>10</v>
      </c>
      <c r="H87" s="20"/>
      <c r="I87" s="20"/>
      <c r="J87" s="20"/>
      <c r="K87" s="20">
        <f>18*2</f>
        <v>36</v>
      </c>
      <c r="L87" s="20"/>
      <c r="M87" s="20"/>
      <c r="N87" s="20"/>
      <c r="O87" s="20"/>
      <c r="P87" s="20"/>
      <c r="Q87" s="20"/>
      <c r="R87" s="23"/>
      <c r="S87" s="1"/>
    </row>
    <row r="88" spans="2:19" s="13" customFormat="1" ht="20" x14ac:dyDescent="0.2">
      <c r="B88" s="7">
        <v>76</v>
      </c>
      <c r="C88" s="7"/>
      <c r="D88" s="39" t="s">
        <v>108</v>
      </c>
      <c r="E88" s="40"/>
      <c r="F88" s="10">
        <f t="shared" si="1"/>
        <v>0</v>
      </c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3"/>
      <c r="S88" s="1"/>
    </row>
    <row r="89" spans="2:19" s="13" customFormat="1" ht="10.5" x14ac:dyDescent="0.2">
      <c r="B89" s="7">
        <v>77</v>
      </c>
      <c r="C89" s="7"/>
      <c r="D89" s="59" t="s">
        <v>151</v>
      </c>
      <c r="E89" s="40" t="s">
        <v>10</v>
      </c>
      <c r="F89" s="10">
        <f t="shared" si="1"/>
        <v>30</v>
      </c>
      <c r="G89" s="20"/>
      <c r="H89" s="20"/>
      <c r="I89" s="20"/>
      <c r="J89" s="20"/>
      <c r="K89" s="20"/>
      <c r="L89" s="20"/>
      <c r="M89" s="20"/>
      <c r="N89" s="20"/>
      <c r="O89" s="20">
        <f>15*2</f>
        <v>30</v>
      </c>
      <c r="P89" s="20"/>
      <c r="Q89" s="20"/>
      <c r="R89" s="23"/>
      <c r="S89" s="1"/>
    </row>
    <row r="90" spans="2:19" s="13" customFormat="1" ht="10.5" x14ac:dyDescent="0.2">
      <c r="B90" s="7">
        <v>78</v>
      </c>
      <c r="C90" s="7"/>
      <c r="D90" s="59" t="s">
        <v>107</v>
      </c>
      <c r="E90" s="40" t="s">
        <v>10</v>
      </c>
      <c r="F90" s="10">
        <f t="shared" si="1"/>
        <v>50</v>
      </c>
      <c r="G90" s="20"/>
      <c r="H90" s="20"/>
      <c r="I90" s="20"/>
      <c r="J90" s="20"/>
      <c r="K90" s="20"/>
      <c r="L90" s="20"/>
      <c r="M90" s="20"/>
      <c r="N90" s="20"/>
      <c r="O90" s="20">
        <f>25*2</f>
        <v>50</v>
      </c>
      <c r="P90" s="20"/>
      <c r="Q90" s="20"/>
      <c r="R90" s="23"/>
      <c r="S90" s="1"/>
    </row>
    <row r="91" spans="2:19" s="13" customFormat="1" ht="10.5" x14ac:dyDescent="0.2">
      <c r="B91" s="7">
        <v>79</v>
      </c>
      <c r="C91" s="7"/>
      <c r="D91" s="59" t="s">
        <v>130</v>
      </c>
      <c r="E91" s="40" t="s">
        <v>10</v>
      </c>
      <c r="F91" s="10">
        <f t="shared" si="1"/>
        <v>82</v>
      </c>
      <c r="G91" s="20"/>
      <c r="H91" s="20"/>
      <c r="I91" s="20">
        <f>41*2</f>
        <v>82</v>
      </c>
      <c r="J91" s="20"/>
      <c r="K91" s="20"/>
      <c r="L91" s="20"/>
      <c r="M91" s="20"/>
      <c r="N91" s="20"/>
      <c r="O91" s="20"/>
      <c r="P91" s="20"/>
      <c r="Q91" s="20"/>
      <c r="R91" s="23"/>
      <c r="S91" s="1"/>
    </row>
    <row r="92" spans="2:19" s="13" customFormat="1" ht="10.5" x14ac:dyDescent="0.2">
      <c r="B92" s="7">
        <v>80</v>
      </c>
      <c r="C92" s="7"/>
      <c r="D92" s="59" t="s">
        <v>135</v>
      </c>
      <c r="E92" s="40" t="s">
        <v>10</v>
      </c>
      <c r="F92" s="10">
        <f t="shared" si="1"/>
        <v>42</v>
      </c>
      <c r="G92" s="20"/>
      <c r="H92" s="20"/>
      <c r="I92" s="20"/>
      <c r="J92" s="20">
        <f>21*2</f>
        <v>42</v>
      </c>
      <c r="K92" s="20"/>
      <c r="L92" s="20"/>
      <c r="M92" s="20"/>
      <c r="N92" s="20"/>
      <c r="O92" s="20"/>
      <c r="P92" s="20"/>
      <c r="Q92" s="20"/>
      <c r="R92" s="23"/>
      <c r="S92" s="1"/>
    </row>
    <row r="93" spans="2:19" s="13" customFormat="1" ht="10.5" x14ac:dyDescent="0.2">
      <c r="B93" s="7">
        <v>81</v>
      </c>
      <c r="C93" s="7"/>
      <c r="D93" s="59" t="s">
        <v>136</v>
      </c>
      <c r="E93" s="40" t="s">
        <v>10</v>
      </c>
      <c r="F93" s="10">
        <f t="shared" si="1"/>
        <v>94</v>
      </c>
      <c r="G93" s="20"/>
      <c r="H93" s="20"/>
      <c r="I93" s="20"/>
      <c r="J93" s="20">
        <f>22*2</f>
        <v>44</v>
      </c>
      <c r="K93" s="20"/>
      <c r="L93" s="20"/>
      <c r="M93" s="20"/>
      <c r="N93" s="20">
        <f>25*2</f>
        <v>50</v>
      </c>
      <c r="O93" s="20"/>
      <c r="P93" s="20"/>
      <c r="Q93" s="20"/>
      <c r="R93" s="23"/>
      <c r="S93" s="1"/>
    </row>
    <row r="94" spans="2:19" s="13" customFormat="1" ht="10.5" x14ac:dyDescent="0.2">
      <c r="B94" s="7">
        <v>82</v>
      </c>
      <c r="C94" s="7"/>
      <c r="D94" s="59" t="s">
        <v>120</v>
      </c>
      <c r="E94" s="40" t="s">
        <v>10</v>
      </c>
      <c r="F94" s="10">
        <f t="shared" si="1"/>
        <v>548</v>
      </c>
      <c r="G94" s="20">
        <f>45*2</f>
        <v>90</v>
      </c>
      <c r="H94" s="20"/>
      <c r="I94" s="20"/>
      <c r="J94" s="20"/>
      <c r="K94" s="20">
        <f>135*2</f>
        <v>270</v>
      </c>
      <c r="L94" s="20">
        <f>46*2</f>
        <v>92</v>
      </c>
      <c r="M94" s="20">
        <f>23*2</f>
        <v>46</v>
      </c>
      <c r="N94" s="20">
        <f>25*2</f>
        <v>50</v>
      </c>
      <c r="O94" s="20"/>
      <c r="P94" s="20"/>
      <c r="Q94" s="20"/>
      <c r="R94" s="23"/>
      <c r="S94" s="1"/>
    </row>
    <row r="95" spans="2:19" s="13" customFormat="1" ht="10.5" x14ac:dyDescent="0.2">
      <c r="B95" s="7">
        <v>83</v>
      </c>
      <c r="C95" s="7"/>
      <c r="D95" s="59" t="s">
        <v>124</v>
      </c>
      <c r="E95" s="40" t="s">
        <v>10</v>
      </c>
      <c r="F95" s="10">
        <f t="shared" si="1"/>
        <v>120</v>
      </c>
      <c r="G95" s="20"/>
      <c r="H95" s="20">
        <f>60*2</f>
        <v>120</v>
      </c>
      <c r="I95" s="20"/>
      <c r="J95" s="20"/>
      <c r="K95" s="20"/>
      <c r="L95" s="20"/>
      <c r="M95" s="20"/>
      <c r="N95" s="20"/>
      <c r="O95" s="20"/>
      <c r="P95" s="20"/>
      <c r="Q95" s="20"/>
      <c r="R95" s="23"/>
      <c r="S95" s="1"/>
    </row>
    <row r="96" spans="2:19" s="13" customFormat="1" ht="10.5" x14ac:dyDescent="0.2">
      <c r="B96" s="7">
        <v>84</v>
      </c>
      <c r="C96" s="7"/>
      <c r="D96" s="59" t="s">
        <v>121</v>
      </c>
      <c r="E96" s="40" t="s">
        <v>10</v>
      </c>
      <c r="F96" s="10">
        <f t="shared" si="1"/>
        <v>46</v>
      </c>
      <c r="G96" s="20">
        <f>5*2</f>
        <v>10</v>
      </c>
      <c r="H96" s="20"/>
      <c r="I96" s="20"/>
      <c r="J96" s="20"/>
      <c r="K96" s="20">
        <f>18*2</f>
        <v>36</v>
      </c>
      <c r="L96" s="20"/>
      <c r="M96" s="20"/>
      <c r="N96" s="20"/>
      <c r="O96" s="20"/>
      <c r="P96" s="20"/>
      <c r="Q96" s="20"/>
      <c r="R96" s="23"/>
      <c r="S96" s="1"/>
    </row>
    <row r="97" spans="2:19" s="13" customFormat="1" x14ac:dyDescent="0.2">
      <c r="B97" s="7">
        <v>85</v>
      </c>
      <c r="C97" s="7"/>
      <c r="D97" s="39" t="s">
        <v>109</v>
      </c>
      <c r="E97" s="40" t="s">
        <v>11</v>
      </c>
      <c r="F97" s="10">
        <f t="shared" si="1"/>
        <v>158</v>
      </c>
      <c r="G97" s="20">
        <v>17</v>
      </c>
      <c r="H97" s="20">
        <v>20</v>
      </c>
      <c r="I97" s="20">
        <v>15</v>
      </c>
      <c r="J97" s="20">
        <v>15</v>
      </c>
      <c r="K97" s="20">
        <v>51</v>
      </c>
      <c r="L97" s="20">
        <v>15</v>
      </c>
      <c r="M97" s="20">
        <v>8</v>
      </c>
      <c r="N97" s="20">
        <v>17</v>
      </c>
      <c r="O97" s="20"/>
      <c r="P97" s="20"/>
      <c r="Q97" s="20"/>
      <c r="R97" s="23"/>
      <c r="S97" s="1"/>
    </row>
    <row r="98" spans="2:19" s="13" customFormat="1" ht="20" x14ac:dyDescent="0.2">
      <c r="B98" s="7">
        <v>86</v>
      </c>
      <c r="C98" s="7"/>
      <c r="D98" s="39" t="s">
        <v>125</v>
      </c>
      <c r="E98" s="40" t="s">
        <v>11</v>
      </c>
      <c r="F98" s="10">
        <f t="shared" si="1"/>
        <v>2</v>
      </c>
      <c r="G98" s="20"/>
      <c r="H98" s="20">
        <v>1</v>
      </c>
      <c r="I98" s="20"/>
      <c r="J98" s="20"/>
      <c r="K98" s="20"/>
      <c r="L98" s="20">
        <v>1</v>
      </c>
      <c r="M98" s="20"/>
      <c r="N98" s="20"/>
      <c r="O98" s="20"/>
      <c r="P98" s="20"/>
      <c r="Q98" s="20"/>
      <c r="R98" s="23"/>
      <c r="S98" s="1"/>
    </row>
    <row r="99" spans="2:19" s="13" customFormat="1" ht="20.5" x14ac:dyDescent="0.2">
      <c r="B99" s="7">
        <v>87</v>
      </c>
      <c r="C99" s="7"/>
      <c r="D99" s="47" t="s">
        <v>110</v>
      </c>
      <c r="E99" s="52" t="s">
        <v>17</v>
      </c>
      <c r="F99" s="10">
        <f t="shared" si="1"/>
        <v>1</v>
      </c>
      <c r="G99" s="20"/>
      <c r="H99" s="20">
        <v>1</v>
      </c>
      <c r="I99" s="20"/>
      <c r="J99" s="20"/>
      <c r="K99" s="20"/>
      <c r="L99" s="20"/>
      <c r="M99" s="20"/>
      <c r="N99" s="20"/>
      <c r="O99" s="20"/>
      <c r="P99" s="20"/>
      <c r="Q99" s="20"/>
      <c r="R99" s="23"/>
      <c r="S99" s="1"/>
    </row>
    <row r="100" spans="2:19" s="13" customFormat="1" ht="20" x14ac:dyDescent="0.2">
      <c r="B100" s="7">
        <v>88</v>
      </c>
      <c r="C100" s="7"/>
      <c r="D100" s="39" t="s">
        <v>111</v>
      </c>
      <c r="E100" s="40" t="s">
        <v>25</v>
      </c>
      <c r="F100" s="10">
        <f t="shared" si="1"/>
        <v>237.14</v>
      </c>
      <c r="G100" s="20">
        <f>(1.33*17)+1</f>
        <v>23.61</v>
      </c>
      <c r="H100" s="20">
        <f>(1.33*20)+3</f>
        <v>29.6</v>
      </c>
      <c r="I100" s="20">
        <f>(1.33*15)+1</f>
        <v>20.950000000000003</v>
      </c>
      <c r="J100" s="20">
        <f>(1.33*15)+1</f>
        <v>20.950000000000003</v>
      </c>
      <c r="K100" s="20">
        <f>(1.33*51)+5</f>
        <v>72.83</v>
      </c>
      <c r="L100" s="20">
        <f>(1.33*15)+2</f>
        <v>21.950000000000003</v>
      </c>
      <c r="M100" s="20">
        <f>(1.33*8)+1</f>
        <v>11.64</v>
      </c>
      <c r="N100" s="20">
        <f>(1.33*17)+3</f>
        <v>25.61</v>
      </c>
      <c r="O100" s="20">
        <v>5</v>
      </c>
      <c r="P100" s="20">
        <v>5</v>
      </c>
      <c r="Q100" s="20"/>
      <c r="R100" s="23"/>
      <c r="S100" s="1"/>
    </row>
    <row r="101" spans="2:19" s="13" customFormat="1" x14ac:dyDescent="0.2">
      <c r="B101" s="7">
        <v>89</v>
      </c>
      <c r="C101" s="7"/>
      <c r="D101" s="39" t="s">
        <v>26</v>
      </c>
      <c r="E101" s="40" t="s">
        <v>17</v>
      </c>
      <c r="F101" s="10">
        <f t="shared" si="1"/>
        <v>2</v>
      </c>
      <c r="G101" s="20"/>
      <c r="H101" s="20">
        <v>1</v>
      </c>
      <c r="I101" s="20"/>
      <c r="J101" s="20"/>
      <c r="K101" s="20"/>
      <c r="L101" s="20"/>
      <c r="M101" s="20"/>
      <c r="N101" s="20"/>
      <c r="O101" s="20">
        <v>1</v>
      </c>
      <c r="P101" s="20"/>
      <c r="Q101" s="20"/>
      <c r="R101" s="23"/>
      <c r="S101" s="1"/>
    </row>
    <row r="102" spans="2:19" s="13" customFormat="1" ht="11" customHeight="1" x14ac:dyDescent="0.35">
      <c r="B102" s="14"/>
      <c r="C102" s="14"/>
      <c r="D102" s="5" t="s">
        <v>112</v>
      </c>
      <c r="E102" s="15"/>
      <c r="F102" s="15"/>
      <c r="G102" s="15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S102" s="17"/>
    </row>
    <row r="103" spans="2:19" s="13" customFormat="1" x14ac:dyDescent="0.2">
      <c r="B103" s="7">
        <v>90</v>
      </c>
      <c r="C103" s="7"/>
      <c r="D103" s="44" t="s">
        <v>113</v>
      </c>
      <c r="E103" s="9" t="s">
        <v>17</v>
      </c>
      <c r="F103" s="10">
        <f t="shared" si="1"/>
        <v>6</v>
      </c>
      <c r="G103" s="20"/>
      <c r="H103" s="20"/>
      <c r="I103" s="20"/>
      <c r="J103" s="20"/>
      <c r="K103" s="20">
        <v>2</v>
      </c>
      <c r="L103" s="20">
        <v>2</v>
      </c>
      <c r="M103" s="20"/>
      <c r="N103" s="20"/>
      <c r="O103" s="20">
        <v>2</v>
      </c>
      <c r="P103" s="20"/>
      <c r="Q103" s="20"/>
      <c r="R103" s="23"/>
      <c r="S103" s="1"/>
    </row>
    <row r="104" spans="2:19" s="13" customFormat="1" x14ac:dyDescent="0.2">
      <c r="B104" s="7">
        <v>91</v>
      </c>
      <c r="C104" s="7"/>
      <c r="D104" s="44" t="s">
        <v>114</v>
      </c>
      <c r="E104" s="9" t="s">
        <v>17</v>
      </c>
      <c r="F104" s="10">
        <f t="shared" si="1"/>
        <v>15</v>
      </c>
      <c r="G104" s="20"/>
      <c r="H104" s="20">
        <v>1</v>
      </c>
      <c r="I104" s="20"/>
      <c r="J104" s="20">
        <v>3</v>
      </c>
      <c r="K104" s="20">
        <v>4</v>
      </c>
      <c r="L104" s="20">
        <v>1</v>
      </c>
      <c r="M104" s="20">
        <v>1</v>
      </c>
      <c r="N104" s="20">
        <v>4</v>
      </c>
      <c r="O104" s="20">
        <v>1</v>
      </c>
      <c r="P104" s="20"/>
      <c r="Q104" s="20"/>
      <c r="R104" s="23"/>
      <c r="S104" s="1"/>
    </row>
    <row r="105" spans="2:19" s="13" customFormat="1" ht="20" x14ac:dyDescent="0.2">
      <c r="B105" s="7">
        <v>92</v>
      </c>
      <c r="C105" s="7"/>
      <c r="D105" s="44" t="s">
        <v>65</v>
      </c>
      <c r="E105" s="9" t="s">
        <v>10</v>
      </c>
      <c r="F105" s="10">
        <f t="shared" si="1"/>
        <v>26</v>
      </c>
      <c r="G105" s="20">
        <f>3</f>
        <v>3</v>
      </c>
      <c r="H105" s="20">
        <v>3</v>
      </c>
      <c r="I105" s="20"/>
      <c r="J105" s="20"/>
      <c r="K105" s="20">
        <v>20</v>
      </c>
      <c r="L105" s="20"/>
      <c r="M105" s="20"/>
      <c r="N105" s="20"/>
      <c r="O105" s="20"/>
      <c r="P105" s="20"/>
      <c r="Q105" s="20"/>
      <c r="R105" s="23"/>
      <c r="S105" s="1"/>
    </row>
    <row r="106" spans="2:19" s="13" customFormat="1" x14ac:dyDescent="0.2">
      <c r="B106" s="7">
        <v>93</v>
      </c>
      <c r="C106" s="7"/>
      <c r="D106" s="39" t="s">
        <v>115</v>
      </c>
      <c r="E106" s="9"/>
      <c r="F106" s="1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3"/>
      <c r="S106" s="1"/>
    </row>
    <row r="107" spans="2:19" s="13" customFormat="1" ht="10.5" x14ac:dyDescent="0.2">
      <c r="B107" s="7">
        <v>94</v>
      </c>
      <c r="C107" s="7"/>
      <c r="D107" s="59" t="s">
        <v>154</v>
      </c>
      <c r="E107" s="9" t="s">
        <v>17</v>
      </c>
      <c r="F107" s="10">
        <f t="shared" si="1"/>
        <v>2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>
        <v>2</v>
      </c>
      <c r="Q107" s="20"/>
      <c r="R107" s="23"/>
      <c r="S107" s="1"/>
    </row>
    <row r="108" spans="2:19" s="13" customFormat="1" ht="11" customHeight="1" x14ac:dyDescent="0.35">
      <c r="B108" s="14"/>
      <c r="C108" s="14"/>
      <c r="D108" s="5" t="s">
        <v>27</v>
      </c>
      <c r="E108" s="15"/>
      <c r="F108" s="15"/>
      <c r="G108" s="15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S108" s="17"/>
    </row>
    <row r="109" spans="2:19" s="26" customFormat="1" ht="12" x14ac:dyDescent="0.35">
      <c r="B109" s="7">
        <v>95</v>
      </c>
      <c r="C109" s="25"/>
      <c r="D109" s="48" t="s">
        <v>139</v>
      </c>
      <c r="E109" s="49" t="s">
        <v>59</v>
      </c>
      <c r="F109" s="10">
        <f t="shared" si="1"/>
        <v>44</v>
      </c>
      <c r="G109" s="28">
        <v>2</v>
      </c>
      <c r="H109" s="28">
        <v>2</v>
      </c>
      <c r="I109" s="28"/>
      <c r="J109" s="28">
        <v>2</v>
      </c>
      <c r="K109" s="28">
        <f>4*2</f>
        <v>8</v>
      </c>
      <c r="L109" s="28">
        <v>16</v>
      </c>
      <c r="M109" s="28">
        <v>4</v>
      </c>
      <c r="N109" s="28">
        <f>4*2</f>
        <v>8</v>
      </c>
      <c r="O109" s="28">
        <v>2</v>
      </c>
      <c r="P109" s="28"/>
      <c r="Q109" s="28"/>
    </row>
    <row r="110" spans="2:19" s="26" customFormat="1" ht="20" x14ac:dyDescent="0.35">
      <c r="B110" s="7">
        <v>96</v>
      </c>
      <c r="C110" s="25"/>
      <c r="D110" s="48" t="s">
        <v>119</v>
      </c>
      <c r="E110" s="49" t="s">
        <v>10</v>
      </c>
      <c r="F110" s="10">
        <f t="shared" si="1"/>
        <v>106</v>
      </c>
      <c r="G110" s="28">
        <f>4*3</f>
        <v>12</v>
      </c>
      <c r="H110" s="28">
        <f>2*3</f>
        <v>6</v>
      </c>
      <c r="I110" s="28"/>
      <c r="J110" s="28">
        <f>10+3+6</f>
        <v>19</v>
      </c>
      <c r="K110" s="28">
        <f>6*3+33</f>
        <v>51</v>
      </c>
      <c r="L110" s="28"/>
      <c r="M110" s="28"/>
      <c r="N110" s="28">
        <f>6+3+3</f>
        <v>12</v>
      </c>
      <c r="O110" s="28">
        <v>6</v>
      </c>
      <c r="P110" s="28"/>
      <c r="Q110" s="28"/>
    </row>
    <row r="111" spans="2:19" s="26" customFormat="1" ht="12" x14ac:dyDescent="0.35">
      <c r="B111" s="7">
        <v>97</v>
      </c>
      <c r="C111" s="25"/>
      <c r="D111" s="48" t="s">
        <v>66</v>
      </c>
      <c r="E111" s="49" t="s">
        <v>13</v>
      </c>
      <c r="F111" s="10">
        <f t="shared" si="1"/>
        <v>224</v>
      </c>
      <c r="G111" s="28">
        <v>20</v>
      </c>
      <c r="H111" s="28">
        <v>12</v>
      </c>
      <c r="I111" s="28">
        <v>72</v>
      </c>
      <c r="J111" s="28">
        <v>25</v>
      </c>
      <c r="K111" s="28">
        <f>44+7+12+6</f>
        <v>69</v>
      </c>
      <c r="L111" s="28"/>
      <c r="M111" s="28">
        <v>5</v>
      </c>
      <c r="N111" s="28">
        <f>5</f>
        <v>5</v>
      </c>
      <c r="O111" s="28">
        <v>16</v>
      </c>
      <c r="P111" s="28"/>
      <c r="Q111" s="28"/>
    </row>
    <row r="112" spans="2:19" s="26" customFormat="1" ht="12" x14ac:dyDescent="0.35">
      <c r="B112" s="7">
        <v>98</v>
      </c>
      <c r="C112" s="25"/>
      <c r="D112" s="50" t="s">
        <v>67</v>
      </c>
      <c r="E112" s="49" t="s">
        <v>13</v>
      </c>
      <c r="F112" s="41">
        <f>F111</f>
        <v>224</v>
      </c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</row>
    <row r="113" spans="2:17" s="26" customFormat="1" ht="12" x14ac:dyDescent="0.35">
      <c r="B113" s="7">
        <v>99</v>
      </c>
      <c r="C113" s="25"/>
      <c r="D113" s="50" t="s">
        <v>68</v>
      </c>
      <c r="E113" s="49" t="s">
        <v>13</v>
      </c>
      <c r="F113" s="41">
        <f>F111</f>
        <v>224</v>
      </c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</row>
    <row r="114" spans="2:17" s="26" customFormat="1" ht="12" x14ac:dyDescent="0.35">
      <c r="B114" s="7">
        <v>100</v>
      </c>
      <c r="C114" s="25"/>
      <c r="D114" s="50" t="s">
        <v>69</v>
      </c>
      <c r="E114" s="49" t="s">
        <v>59</v>
      </c>
      <c r="F114" s="41">
        <f>F111*0.3*1.15</f>
        <v>77.28</v>
      </c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</row>
    <row r="115" spans="2:17" s="26" customFormat="1" ht="12" x14ac:dyDescent="0.35">
      <c r="B115" s="7">
        <v>101</v>
      </c>
      <c r="C115" s="25"/>
      <c r="D115" s="48" t="s">
        <v>70</v>
      </c>
      <c r="E115" s="51" t="s">
        <v>13</v>
      </c>
      <c r="F115" s="10">
        <f>SUM(G115:P115)</f>
        <v>37</v>
      </c>
      <c r="G115" s="28">
        <f>14+10</f>
        <v>24</v>
      </c>
      <c r="H115" s="28">
        <f>2</f>
        <v>2</v>
      </c>
      <c r="I115" s="28"/>
      <c r="J115" s="28">
        <f>3+8</f>
        <v>11</v>
      </c>
      <c r="K115" s="28"/>
      <c r="L115" s="28"/>
      <c r="M115" s="28"/>
      <c r="N115" s="28"/>
      <c r="O115" s="28"/>
      <c r="P115" s="28"/>
      <c r="Q115" s="28"/>
    </row>
    <row r="116" spans="2:17" s="26" customFormat="1" ht="12" x14ac:dyDescent="0.35">
      <c r="B116" s="7">
        <v>102</v>
      </c>
      <c r="C116" s="25"/>
      <c r="D116" s="50" t="s">
        <v>73</v>
      </c>
      <c r="E116" s="51" t="s">
        <v>13</v>
      </c>
      <c r="F116" s="28">
        <f>F115*0.3</f>
        <v>11.1</v>
      </c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</row>
    <row r="117" spans="2:17" s="26" customFormat="1" ht="12" x14ac:dyDescent="0.35">
      <c r="B117" s="7">
        <v>103</v>
      </c>
      <c r="C117" s="25"/>
      <c r="D117" s="50" t="s">
        <v>71</v>
      </c>
      <c r="E117" s="51" t="s">
        <v>59</v>
      </c>
      <c r="F117" s="46">
        <f>F115*0.04*1.15</f>
        <v>1.702</v>
      </c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</row>
    <row r="118" spans="2:17" s="26" customFormat="1" ht="12" x14ac:dyDescent="0.35">
      <c r="B118" s="7">
        <v>104</v>
      </c>
      <c r="C118" s="25"/>
      <c r="D118" s="50" t="s">
        <v>72</v>
      </c>
      <c r="E118" s="51" t="s">
        <v>59</v>
      </c>
      <c r="F118" s="28">
        <f>F115*0.16*1.15</f>
        <v>6.8079999999999998</v>
      </c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</row>
    <row r="119" spans="2:17" s="26" customFormat="1" ht="12" x14ac:dyDescent="0.35">
      <c r="B119" s="7">
        <v>105</v>
      </c>
      <c r="C119" s="25"/>
      <c r="D119" s="48" t="s">
        <v>126</v>
      </c>
      <c r="E119" s="51" t="s">
        <v>13</v>
      </c>
      <c r="F119" s="10">
        <f>SUM(G119:P119)</f>
        <v>49</v>
      </c>
      <c r="G119" s="28"/>
      <c r="H119" s="28">
        <f>3+8</f>
        <v>11</v>
      </c>
      <c r="I119" s="28"/>
      <c r="J119" s="28">
        <v>10</v>
      </c>
      <c r="K119" s="28">
        <f>6+2</f>
        <v>8</v>
      </c>
      <c r="L119" s="28"/>
      <c r="M119" s="28">
        <v>20</v>
      </c>
      <c r="N119" s="28"/>
      <c r="O119" s="28"/>
      <c r="P119" s="28"/>
      <c r="Q119" s="28"/>
    </row>
    <row r="120" spans="2:17" s="26" customFormat="1" ht="12" x14ac:dyDescent="0.35">
      <c r="B120" s="7">
        <v>106</v>
      </c>
      <c r="C120" s="25"/>
      <c r="D120" s="50" t="s">
        <v>127</v>
      </c>
      <c r="E120" s="51" t="s">
        <v>13</v>
      </c>
      <c r="F120" s="28">
        <f>F119*0.3</f>
        <v>14.7</v>
      </c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</row>
    <row r="121" spans="2:17" s="26" customFormat="1" ht="12" x14ac:dyDescent="0.35">
      <c r="B121" s="7">
        <v>107</v>
      </c>
      <c r="C121" s="25"/>
      <c r="D121" s="50" t="s">
        <v>71</v>
      </c>
      <c r="E121" s="51" t="s">
        <v>59</v>
      </c>
      <c r="F121" s="46">
        <f>F119*0.04*1.15</f>
        <v>2.254</v>
      </c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</row>
    <row r="122" spans="2:17" s="26" customFormat="1" ht="12" x14ac:dyDescent="0.35">
      <c r="B122" s="7">
        <v>108</v>
      </c>
      <c r="C122" s="25"/>
      <c r="D122" s="50" t="s">
        <v>72</v>
      </c>
      <c r="E122" s="51" t="s">
        <v>59</v>
      </c>
      <c r="F122" s="28">
        <f>F119*0.16*1.15</f>
        <v>9.016</v>
      </c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</row>
    <row r="123" spans="2:17" s="26" customFormat="1" ht="12" x14ac:dyDescent="0.35">
      <c r="B123" s="7">
        <v>109</v>
      </c>
      <c r="C123" s="25"/>
      <c r="D123" s="11" t="s">
        <v>57</v>
      </c>
      <c r="E123" s="27" t="s">
        <v>13</v>
      </c>
      <c r="F123" s="10">
        <f t="shared" ref="F123" si="6">SUM(G123:P123)</f>
        <v>47</v>
      </c>
      <c r="G123" s="28"/>
      <c r="H123" s="28"/>
      <c r="I123" s="28"/>
      <c r="J123" s="28"/>
      <c r="K123" s="28"/>
      <c r="L123" s="28"/>
      <c r="M123" s="28"/>
      <c r="N123" s="28"/>
      <c r="O123" s="28"/>
      <c r="P123" s="28">
        <v>47</v>
      </c>
      <c r="Q123" s="28"/>
    </row>
    <row r="124" spans="2:17" s="26" customFormat="1" ht="12" x14ac:dyDescent="0.35">
      <c r="B124" s="7">
        <v>110</v>
      </c>
      <c r="C124" s="25"/>
      <c r="D124" s="45" t="s">
        <v>58</v>
      </c>
      <c r="E124" s="27" t="s">
        <v>59</v>
      </c>
      <c r="F124" s="10">
        <f>F123*0.1*1.15</f>
        <v>5.4049999999999994</v>
      </c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2:17" s="26" customFormat="1" ht="12" x14ac:dyDescent="0.35">
      <c r="B125" s="7">
        <v>111</v>
      </c>
      <c r="C125" s="25"/>
      <c r="D125" s="45" t="s">
        <v>60</v>
      </c>
      <c r="E125" s="27" t="s">
        <v>59</v>
      </c>
      <c r="F125" s="10">
        <f>F123*0.2*1.15</f>
        <v>10.809999999999999</v>
      </c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</row>
    <row r="126" spans="2:17" s="26" customFormat="1" ht="12" x14ac:dyDescent="0.35">
      <c r="B126" s="7">
        <v>112</v>
      </c>
      <c r="C126" s="25"/>
      <c r="D126" s="48" t="s">
        <v>61</v>
      </c>
      <c r="E126" s="49" t="s">
        <v>13</v>
      </c>
      <c r="F126" s="10">
        <f>SUM(G126:P126)</f>
        <v>879</v>
      </c>
      <c r="G126" s="28">
        <v>71</v>
      </c>
      <c r="H126" s="28">
        <f>7+9+22+75</f>
        <v>113</v>
      </c>
      <c r="I126" s="28">
        <v>26</v>
      </c>
      <c r="J126" s="28">
        <f>30+10+18</f>
        <v>58</v>
      </c>
      <c r="K126" s="28">
        <f>95+22+45+98+32</f>
        <v>292</v>
      </c>
      <c r="L126" s="28">
        <v>95</v>
      </c>
      <c r="M126" s="28">
        <f>13+23</f>
        <v>36</v>
      </c>
      <c r="N126" s="28">
        <f>10+42+12</f>
        <v>64</v>
      </c>
      <c r="O126" s="28">
        <f>72+18</f>
        <v>90</v>
      </c>
      <c r="P126" s="28">
        <f>22+12</f>
        <v>34</v>
      </c>
      <c r="Q126" s="28"/>
    </row>
    <row r="127" spans="2:17" s="26" customFormat="1" ht="12" x14ac:dyDescent="0.35">
      <c r="B127" s="7">
        <v>113</v>
      </c>
      <c r="C127" s="25"/>
      <c r="D127" s="45" t="s">
        <v>62</v>
      </c>
      <c r="E127" s="27" t="s">
        <v>59</v>
      </c>
      <c r="F127" s="10">
        <f>F126*0.15*1.15</f>
        <v>151.62749999999997</v>
      </c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spans="2:17" s="26" customFormat="1" ht="11.5" x14ac:dyDescent="0.35">
      <c r="B128" s="7">
        <v>114</v>
      </c>
      <c r="C128" s="25"/>
      <c r="D128" s="45" t="s">
        <v>63</v>
      </c>
      <c r="E128" s="27" t="s">
        <v>64</v>
      </c>
      <c r="F128" s="56">
        <f>F126*35/1000</f>
        <v>30.765000000000001</v>
      </c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spans="2:33" s="26" customFormat="1" ht="11.5" x14ac:dyDescent="0.35">
      <c r="B129" s="7">
        <v>115</v>
      </c>
      <c r="C129" s="25"/>
      <c r="D129" s="11" t="s">
        <v>117</v>
      </c>
      <c r="E129" s="27" t="s">
        <v>11</v>
      </c>
      <c r="F129" s="10">
        <f t="shared" ref="F129" si="7">SUM(G129:P129)</f>
        <v>4</v>
      </c>
      <c r="G129" s="28"/>
      <c r="H129" s="28"/>
      <c r="I129" s="28"/>
      <c r="J129" s="28"/>
      <c r="K129" s="28">
        <f>1+3</f>
        <v>4</v>
      </c>
      <c r="L129" s="28"/>
      <c r="M129" s="28"/>
      <c r="N129" s="28"/>
      <c r="O129" s="28"/>
      <c r="P129" s="28"/>
      <c r="Q129" s="28"/>
    </row>
    <row r="130" spans="2:33" s="26" customFormat="1" ht="11.5" x14ac:dyDescent="0.35">
      <c r="B130" s="7">
        <v>116</v>
      </c>
      <c r="C130" s="25"/>
      <c r="D130" s="11" t="s">
        <v>118</v>
      </c>
      <c r="E130" s="27" t="s">
        <v>11</v>
      </c>
      <c r="F130" s="10">
        <f t="shared" ref="F130" si="8">SUM(G130:L130)</f>
        <v>3</v>
      </c>
      <c r="G130" s="28"/>
      <c r="H130" s="28">
        <v>1</v>
      </c>
      <c r="I130" s="28"/>
      <c r="J130" s="28"/>
      <c r="K130" s="28">
        <v>2</v>
      </c>
      <c r="L130" s="28"/>
      <c r="M130" s="28"/>
      <c r="N130" s="28"/>
      <c r="O130" s="28"/>
      <c r="P130" s="28"/>
      <c r="Q130" s="28"/>
    </row>
    <row r="131" spans="2:33" s="22" customFormat="1" ht="11.5" x14ac:dyDescent="0.35">
      <c r="B131" s="29"/>
      <c r="C131" s="29"/>
      <c r="D131" s="30"/>
      <c r="E131" s="29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</row>
    <row r="132" spans="2:33" s="2" customFormat="1" ht="11.5" x14ac:dyDescent="0.2"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</row>
    <row r="133" spans="2:33" ht="11.5" x14ac:dyDescent="0.2">
      <c r="D133" s="54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</row>
    <row r="134" spans="2:33" ht="11.5" x14ac:dyDescent="0.2">
      <c r="D134" s="55" t="s">
        <v>98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</row>
    <row r="135" spans="2:33" x14ac:dyDescent="0.2">
      <c r="D135" s="55" t="s">
        <v>116</v>
      </c>
    </row>
    <row r="136" spans="2:33" x14ac:dyDescent="0.2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3"/>
    </row>
  </sheetData>
  <mergeCells count="6">
    <mergeCell ref="Q8:Q9"/>
    <mergeCell ref="B8:B9"/>
    <mergeCell ref="C8:C9"/>
    <mergeCell ref="D8:D9"/>
    <mergeCell ref="E8:E9"/>
    <mergeCell ref="F8:F9"/>
  </mergeCells>
  <phoneticPr fontId="27" type="noConversion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&amp;R&amp;"Arial,Parasts"&amp;8&amp;P/&amp;N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1AED8CF30E8241A9E54BD3B7441B74" ma:contentTypeVersion="11" ma:contentTypeDescription="Create a new document." ma:contentTypeScope="" ma:versionID="cdabcd2b8767665199c0f6ea7c7cf73d">
  <xsd:schema xmlns:xsd="http://www.w3.org/2001/XMLSchema" xmlns:xs="http://www.w3.org/2001/XMLSchema" xmlns:p="http://schemas.microsoft.com/office/2006/metadata/properties" xmlns:ns2="7f633294-ecb1-441a-a30b-c5489c8802c9" xmlns:ns3="69b10c31-7d9c-44e2-982c-7fafe1df7124" targetNamespace="http://schemas.microsoft.com/office/2006/metadata/properties" ma:root="true" ma:fieldsID="be3daf4a31f29f517427b3f124dca725" ns2:_="" ns3:_="">
    <xsd:import namespace="7f633294-ecb1-441a-a30b-c5489c8802c9"/>
    <xsd:import namespace="69b10c31-7d9c-44e2-982c-7fafe1df71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33294-ecb1-441a-a30b-c5489c8802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605585e-e446-4153-8cfb-34882653e7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10c31-7d9c-44e2-982c-7fafe1df712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7900239-a832-4af9-84ef-cf950ca5535a}" ma:internalName="TaxCatchAll" ma:showField="CatchAllData" ma:web="69b10c31-7d9c-44e2-982c-7fafe1df7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b10c31-7d9c-44e2-982c-7fafe1df7124" xsi:nil="true"/>
    <lcf76f155ced4ddcb4097134ff3c332f xmlns="7f633294-ecb1-441a-a30b-c5489c8802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FA7739-8DFE-4D76-88B3-8058AB2064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562D06-74AE-4AC3-AEE2-23361C991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33294-ecb1-441a-a30b-c5489c8802c9"/>
    <ds:schemaRef ds:uri="69b10c31-7d9c-44e2-982c-7fafe1df7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1608F8-D804-449B-9BC9-7061DE8FA325}">
  <ds:schemaRefs>
    <ds:schemaRef ds:uri="http://schemas.microsoft.com/office/2006/metadata/properties"/>
    <ds:schemaRef ds:uri="http://schemas.microsoft.com/office/infopath/2007/PartnerControls"/>
    <ds:schemaRef ds:uri="69b10c31-7d9c-44e2-982c-7fafe1df7124"/>
    <ds:schemaRef ds:uri="7f633294-ecb1-441a-a30b-c5489c8802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DH</vt:lpstr>
      <vt:lpstr>DH!Drukas_apgabals</vt:lpstr>
      <vt:lpstr>DH!Drukāt_virsrakstus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Jelena Grohovska</dc:creator>
  <cp:keywords/>
  <dc:description/>
  <cp:lastModifiedBy>Jeļena Grohovska</cp:lastModifiedBy>
  <cp:revision/>
  <cp:lastPrinted>2025-12-15T22:06:11Z</cp:lastPrinted>
  <dcterms:created xsi:type="dcterms:W3CDTF">2022-06-01T14:26:19Z</dcterms:created>
  <dcterms:modified xsi:type="dcterms:W3CDTF">2026-01-30T10:53:54Z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0x010100601AED8CF30E8241A9E54BD3B7441B74</vt:lpwstr>
  </property>
  <property fmtid="{D5CDD505-2E9C-101B-9397-08002B2CF9AE}" pid="3" name="MediaServiceImageTags">
    <vt:lpwstr/>
  </property>
</Properties>
</file>