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ren4you-my.sharepoint.com/personal/rihards_zakrepskis_gren_com/Documents/Documents/Jaunie pieslegumi 2/ES caurules/2024/Iepirkuma dokumenti/"/>
    </mc:Choice>
  </mc:AlternateContent>
  <xr:revisionPtr revIDLastSave="2202" documentId="13_ncr:1_{86260E90-B087-47B6-8928-12B41C1E2059}" xr6:coauthVersionLast="47" xr6:coauthVersionMax="47" xr10:uidLastSave="{9B701CDC-6331-4243-828C-F151476A457F}"/>
  <bookViews>
    <workbookView xWindow="28680" yWindow="-120" windowWidth="38640" windowHeight="21120" xr2:uid="{00000000-000D-0000-FFFF-FFFF00000000}"/>
  </bookViews>
  <sheets>
    <sheet name="Izolacijas darbi" sheetId="3" r:id="rId1"/>
  </sheets>
  <definedNames>
    <definedName name="_xlnm.Print_Area" localSheetId="0">'Izolacijas darbi'!$B$1:$AJ$81</definedName>
    <definedName name="_xlnm.Print_Titles" localSheetId="0">'Izolacijas darbi'!$8:$9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" l="1"/>
  <c r="F11" i="3"/>
  <c r="AI16" i="3"/>
  <c r="F41" i="3"/>
  <c r="F42" i="3"/>
  <c r="F43" i="3"/>
  <c r="F44" i="3"/>
  <c r="F45" i="3"/>
  <c r="F46" i="3"/>
  <c r="F40" i="3"/>
  <c r="F51" i="3"/>
  <c r="F50" i="3"/>
  <c r="F48" i="3"/>
  <c r="M24" i="3"/>
  <c r="N24" i="3"/>
  <c r="O24" i="3"/>
  <c r="P24" i="3"/>
  <c r="Q24" i="3"/>
  <c r="R24" i="3"/>
  <c r="S24" i="3"/>
  <c r="T24" i="3"/>
  <c r="W24" i="3"/>
  <c r="X24" i="3"/>
  <c r="Z24" i="3"/>
  <c r="AA24" i="3"/>
  <c r="AB24" i="3"/>
  <c r="AC24" i="3"/>
  <c r="AD24" i="3"/>
  <c r="AE24" i="3"/>
  <c r="L24" i="3"/>
  <c r="AF30" i="3" l="1"/>
  <c r="AH29" i="3"/>
  <c r="F28" i="3"/>
  <c r="AG26" i="3"/>
  <c r="F26" i="3" s="1"/>
  <c r="H18" i="3"/>
  <c r="I18" i="3"/>
  <c r="J18" i="3"/>
  <c r="K18" i="3"/>
  <c r="L18" i="3"/>
  <c r="M18" i="3"/>
  <c r="N18" i="3"/>
  <c r="O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J19" i="3"/>
  <c r="K19" i="3"/>
  <c r="M19" i="3"/>
  <c r="N19" i="3"/>
  <c r="O19" i="3"/>
  <c r="P19" i="3"/>
  <c r="R19" i="3"/>
  <c r="S19" i="3"/>
  <c r="T19" i="3"/>
  <c r="U19" i="3"/>
  <c r="V19" i="3"/>
  <c r="AA19" i="3"/>
  <c r="AB19" i="3"/>
  <c r="AD19" i="3"/>
  <c r="AE19" i="3"/>
  <c r="H20" i="3"/>
  <c r="I20" i="3"/>
  <c r="K20" i="3"/>
  <c r="L20" i="3"/>
  <c r="N20" i="3"/>
  <c r="P20" i="3"/>
  <c r="S20" i="3"/>
  <c r="U20" i="3"/>
  <c r="X20" i="3"/>
  <c r="Y20" i="3"/>
  <c r="AB20" i="3"/>
  <c r="AD20" i="3"/>
  <c r="P21" i="3"/>
  <c r="R21" i="3"/>
  <c r="T21" i="3"/>
  <c r="H22" i="3"/>
  <c r="I22" i="3"/>
  <c r="J22" i="3"/>
  <c r="K22" i="3"/>
  <c r="L22" i="3"/>
  <c r="M22" i="3"/>
  <c r="N22" i="3"/>
  <c r="O22" i="3"/>
  <c r="Q22" i="3"/>
  <c r="R22" i="3"/>
  <c r="S22" i="3"/>
  <c r="T22" i="3"/>
  <c r="U22" i="3"/>
  <c r="V22" i="3"/>
  <c r="W22" i="3"/>
  <c r="Y22" i="3"/>
  <c r="Z22" i="3"/>
  <c r="AA22" i="3"/>
  <c r="AB22" i="3"/>
  <c r="AC22" i="3"/>
  <c r="AD22" i="3"/>
  <c r="AE22" i="3"/>
  <c r="H23" i="3"/>
  <c r="I23" i="3"/>
  <c r="J23" i="3"/>
  <c r="K23" i="3"/>
  <c r="L23" i="3"/>
  <c r="M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G22" i="3"/>
  <c r="G20" i="3"/>
  <c r="G19" i="3"/>
  <c r="G23" i="3"/>
  <c r="G18" i="3"/>
  <c r="F14" i="3"/>
  <c r="AF36" i="3" l="1"/>
  <c r="U66" i="3"/>
  <c r="Q66" i="3"/>
  <c r="N65" i="3"/>
  <c r="X64" i="3"/>
  <c r="P64" i="3"/>
  <c r="N64" i="3"/>
  <c r="L64" i="3"/>
  <c r="AF63" i="3"/>
  <c r="AE63" i="3"/>
  <c r="AD63" i="3"/>
  <c r="AC63" i="3"/>
  <c r="AB63" i="3"/>
  <c r="AA63" i="3"/>
  <c r="Z63" i="3"/>
  <c r="Y63" i="3"/>
  <c r="X63" i="3"/>
  <c r="W63" i="3"/>
  <c r="V63" i="3"/>
  <c r="U63" i="3"/>
  <c r="S63" i="3"/>
  <c r="R63" i="3"/>
  <c r="Q63" i="3"/>
  <c r="O63" i="3"/>
  <c r="N63" i="3"/>
  <c r="M63" i="3"/>
  <c r="L63" i="3"/>
  <c r="K63" i="3"/>
  <c r="J63" i="3"/>
  <c r="I63" i="3"/>
  <c r="H63" i="3"/>
  <c r="G63" i="3"/>
  <c r="AE62" i="3"/>
  <c r="AC62" i="3"/>
  <c r="AA62" i="3"/>
  <c r="Z62" i="3"/>
  <c r="W62" i="3"/>
  <c r="V62" i="3"/>
  <c r="T62" i="3"/>
  <c r="R62" i="3"/>
  <c r="Q62" i="3"/>
  <c r="O62" i="3"/>
  <c r="M62" i="3"/>
  <c r="J62" i="3"/>
  <c r="AG61" i="3"/>
  <c r="AC61" i="3"/>
  <c r="Z61" i="3"/>
  <c r="Y61" i="3"/>
  <c r="X61" i="3"/>
  <c r="W61" i="3"/>
  <c r="Q61" i="3"/>
  <c r="L61" i="3"/>
  <c r="I61" i="3"/>
  <c r="H61" i="3"/>
  <c r="AG60" i="3"/>
  <c r="P60" i="3"/>
  <c r="F72" i="3"/>
  <c r="F73" i="3"/>
  <c r="F74" i="3"/>
  <c r="F35" i="3"/>
  <c r="F13" i="3"/>
  <c r="G36" i="3" l="1"/>
  <c r="F75" i="3"/>
  <c r="F78" i="3" l="1"/>
  <c r="F77" i="3"/>
  <c r="F76" i="3"/>
  <c r="F59" i="3" l="1"/>
  <c r="AO59" i="3" s="1"/>
  <c r="F67" i="3"/>
  <c r="AO67" i="3" s="1"/>
  <c r="AP67" i="3" l="1"/>
  <c r="AP59" i="3"/>
  <c r="AE31" i="3"/>
  <c r="AE21" i="3" s="1"/>
  <c r="AE30" i="3"/>
  <c r="AE20" i="3" s="1"/>
  <c r="AC31" i="3"/>
  <c r="AC21" i="3" s="1"/>
  <c r="AC30" i="3"/>
  <c r="AC20" i="3" s="1"/>
  <c r="AC29" i="3"/>
  <c r="AC19" i="3" s="1"/>
  <c r="AA31" i="3"/>
  <c r="AA21" i="3" s="1"/>
  <c r="AA30" i="3"/>
  <c r="AA20" i="3" s="1"/>
  <c r="Z31" i="3"/>
  <c r="Z21" i="3" s="1"/>
  <c r="Z30" i="3"/>
  <c r="Z20" i="3" s="1"/>
  <c r="Z29" i="3"/>
  <c r="Z19" i="3" s="1"/>
  <c r="Y29" i="3"/>
  <c r="Y19" i="3" s="1"/>
  <c r="Y31" i="3"/>
  <c r="Y21" i="3" s="1"/>
  <c r="Y34" i="3"/>
  <c r="Y24" i="3" s="1"/>
  <c r="X32" i="3"/>
  <c r="X22" i="3" s="1"/>
  <c r="X31" i="3"/>
  <c r="X21" i="3" s="1"/>
  <c r="X29" i="3"/>
  <c r="X19" i="3" s="1"/>
  <c r="W31" i="3"/>
  <c r="W21" i="3" s="1"/>
  <c r="W30" i="3"/>
  <c r="W20" i="3" s="1"/>
  <c r="W29" i="3"/>
  <c r="W19" i="3" s="1"/>
  <c r="V31" i="3"/>
  <c r="V21" i="3" s="1"/>
  <c r="V30" i="3"/>
  <c r="V20" i="3" s="1"/>
  <c r="V34" i="3"/>
  <c r="V24" i="3" s="1"/>
  <c r="U34" i="3"/>
  <c r="U24" i="3" s="1"/>
  <c r="S31" i="3"/>
  <c r="S21" i="3" s="1"/>
  <c r="R30" i="3"/>
  <c r="R20" i="3" s="1"/>
  <c r="Q31" i="3"/>
  <c r="Q21" i="3" s="1"/>
  <c r="Q29" i="3"/>
  <c r="Q19" i="3" s="1"/>
  <c r="P32" i="3"/>
  <c r="P22" i="3" s="1"/>
  <c r="F22" i="3" s="1"/>
  <c r="F60" i="3"/>
  <c r="AO60" i="3" s="1"/>
  <c r="O31" i="3"/>
  <c r="O21" i="3" s="1"/>
  <c r="F65" i="3"/>
  <c r="AO65" i="3" s="1"/>
  <c r="M31" i="3"/>
  <c r="M21" i="3" s="1"/>
  <c r="M30" i="3"/>
  <c r="M20" i="3" s="1"/>
  <c r="L31" i="3"/>
  <c r="L21" i="3" s="1"/>
  <c r="L29" i="3"/>
  <c r="L19" i="3" s="1"/>
  <c r="K31" i="3"/>
  <c r="K21" i="3" s="1"/>
  <c r="J31" i="3"/>
  <c r="J21" i="3" s="1"/>
  <c r="AP65" i="3" l="1"/>
  <c r="AP60" i="3"/>
  <c r="F24" i="3"/>
  <c r="R36" i="3"/>
  <c r="S36" i="3"/>
  <c r="K36" i="3"/>
  <c r="L36" i="3"/>
  <c r="AA36" i="3"/>
  <c r="M36" i="3"/>
  <c r="AC36" i="3"/>
  <c r="AE36" i="3"/>
  <c r="W36" i="3"/>
  <c r="V36" i="3"/>
  <c r="X36" i="3"/>
  <c r="Y36" i="3"/>
  <c r="Z36" i="3"/>
  <c r="F61" i="3"/>
  <c r="AO61" i="3" s="1"/>
  <c r="F32" i="3"/>
  <c r="F62" i="3"/>
  <c r="AO62" i="3" s="1"/>
  <c r="F66" i="3"/>
  <c r="AO66" i="3" s="1"/>
  <c r="F64" i="3"/>
  <c r="AO64" i="3" s="1"/>
  <c r="F34" i="3"/>
  <c r="P27" i="3"/>
  <c r="P18" i="3" s="1"/>
  <c r="F18" i="3" s="1"/>
  <c r="N33" i="3"/>
  <c r="N23" i="3" s="1"/>
  <c r="F23" i="3" s="1"/>
  <c r="J30" i="3"/>
  <c r="J20" i="3" s="1"/>
  <c r="AB31" i="3"/>
  <c r="AB21" i="3" s="1"/>
  <c r="U31" i="3"/>
  <c r="U21" i="3" s="1"/>
  <c r="AD31" i="3"/>
  <c r="AD21" i="3" s="1"/>
  <c r="T30" i="3"/>
  <c r="T20" i="3" s="1"/>
  <c r="Q30" i="3"/>
  <c r="Q20" i="3" s="1"/>
  <c r="N31" i="3"/>
  <c r="N21" i="3" s="1"/>
  <c r="O30" i="3"/>
  <c r="O20" i="3" s="1"/>
  <c r="AP64" i="3" l="1"/>
  <c r="AP66" i="3"/>
  <c r="AP62" i="3"/>
  <c r="AP61" i="3"/>
  <c r="F20" i="3"/>
  <c r="Q36" i="3"/>
  <c r="AD36" i="3"/>
  <c r="U36" i="3"/>
  <c r="O36" i="3"/>
  <c r="T36" i="3"/>
  <c r="AB36" i="3"/>
  <c r="J36" i="3"/>
  <c r="F16" i="3"/>
  <c r="F33" i="3"/>
  <c r="P36" i="3"/>
  <c r="N36" i="3"/>
  <c r="F27" i="3"/>
  <c r="F30" i="3"/>
  <c r="G31" i="3" l="1"/>
  <c r="G21" i="3" s="1"/>
  <c r="F63" i="3" l="1"/>
  <c r="AO63" i="3" s="1"/>
  <c r="I29" i="3"/>
  <c r="I19" i="3" s="1"/>
  <c r="H31" i="3"/>
  <c r="H21" i="3" s="1"/>
  <c r="AP63" i="3" l="1"/>
  <c r="AQ67" i="3" s="1"/>
  <c r="F55" i="3" s="1"/>
  <c r="F68" i="3" s="1"/>
  <c r="I31" i="3"/>
  <c r="I21" i="3" s="1"/>
  <c r="F21" i="3" s="1"/>
  <c r="H29" i="3"/>
  <c r="H19" i="3" s="1"/>
  <c r="F19" i="3" s="1"/>
  <c r="F57" i="3" l="1"/>
  <c r="F56" i="3"/>
  <c r="F31" i="3"/>
  <c r="H36" i="3"/>
  <c r="F15" i="3"/>
  <c r="I36" i="3"/>
  <c r="F29" i="3"/>
  <c r="F36" i="3" l="1"/>
</calcChain>
</file>

<file path=xl/sharedStrings.xml><?xml version="1.0" encoding="utf-8"?>
<sst xmlns="http://schemas.openxmlformats.org/spreadsheetml/2006/main" count="268" uniqueCount="195">
  <si>
    <t>Materiālu un iekārtu nosaukums un tehniskais raksturojums</t>
  </si>
  <si>
    <t>Mērv.</t>
  </si>
  <si>
    <t>Piezīmes</t>
  </si>
  <si>
    <t>kmpl.</t>
  </si>
  <si>
    <t>4</t>
  </si>
  <si>
    <t>1</t>
  </si>
  <si>
    <t>3</t>
  </si>
  <si>
    <t>2</t>
  </si>
  <si>
    <t>8</t>
  </si>
  <si>
    <t>5</t>
  </si>
  <si>
    <t>m</t>
  </si>
  <si>
    <t>9</t>
  </si>
  <si>
    <t>10</t>
  </si>
  <si>
    <t>tn.</t>
  </si>
  <si>
    <t>DN 150</t>
  </si>
  <si>
    <t>6</t>
  </si>
  <si>
    <t>Tērauda metinātās caurules (t.sk. veidgabalu piegāde un montāža)</t>
  </si>
  <si>
    <t>DN 65</t>
  </si>
  <si>
    <t>7</t>
  </si>
  <si>
    <t>DN 80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</si>
  <si>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</si>
  <si>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</si>
  <si>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</si>
  <si>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</si>
  <si>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</si>
  <si>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</si>
  <si>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</si>
  <si>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</si>
  <si>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</si>
  <si>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</si>
  <si>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</si>
  <si>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</si>
  <si>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</si>
  <si>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</si>
  <si>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</si>
  <si>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</si>
  <si>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</si>
  <si>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</si>
  <si>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</si>
  <si>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</si>
  <si>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</si>
  <si>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</si>
  <si>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</si>
  <si>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</si>
  <si>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</si>
  <si>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</si>
  <si>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</si>
  <si>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</si>
  <si>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</si>
  <si>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Brīvības 41</t>
  </si>
  <si>
    <t>Čakstes 9</t>
  </si>
  <si>
    <t>Čakstes 11</t>
  </si>
  <si>
    <t>Čakstes 13</t>
  </si>
  <si>
    <t>Garozas 32</t>
  </si>
  <si>
    <t>Kungu 25</t>
  </si>
  <si>
    <t>Lielā 14</t>
  </si>
  <si>
    <t>Pasta 24</t>
  </si>
  <si>
    <t>Loka maģ.29</t>
  </si>
  <si>
    <t>Pasta 28</t>
  </si>
  <si>
    <t>Pērnavas 17</t>
  </si>
  <si>
    <t>Pērnavas 19</t>
  </si>
  <si>
    <t>Pērnavas 21</t>
  </si>
  <si>
    <t>Svētes 21</t>
  </si>
  <si>
    <t>Uzvaras 2</t>
  </si>
  <si>
    <t>Uzvaras 4</t>
  </si>
  <si>
    <t>Uzvaras 6</t>
  </si>
  <si>
    <t>Uzvaras 11</t>
  </si>
  <si>
    <t>Vīgriežu 28</t>
  </si>
  <si>
    <t>Mātera 53</t>
  </si>
  <si>
    <t>Mātera 55</t>
  </si>
  <si>
    <t>Pērnavas 18</t>
  </si>
  <si>
    <t>Pērnavas 20</t>
  </si>
  <si>
    <t>Vecais 53</t>
  </si>
  <si>
    <t>BŪVDARBU APJOMU SARAKSTS</t>
  </si>
  <si>
    <r>
      <rPr>
        <b/>
        <sz val="9"/>
        <rFont val="Arial"/>
        <family val="2"/>
      </rPr>
      <t>Pasūtītājs</t>
    </r>
    <r>
      <rPr>
        <sz val="9"/>
        <rFont val="Arial"/>
        <family val="2"/>
      </rPr>
      <t xml:space="preserve">:  </t>
    </r>
    <r>
      <rPr>
        <b/>
        <sz val="9"/>
        <rFont val="Arial"/>
        <family val="2"/>
      </rPr>
      <t>SIA ″Gren Jelgava″</t>
    </r>
    <r>
      <rPr>
        <sz val="9"/>
        <rFont val="Arial"/>
        <family val="2"/>
      </rPr>
      <t>, vienotais reģistrācijas Nr.5000354231</t>
    </r>
  </si>
  <si>
    <r>
      <rPr>
        <b/>
        <sz val="9"/>
        <color indexed="8"/>
        <rFont val="Arial"/>
        <family val="2"/>
      </rPr>
      <t>Projekta nosaukums</t>
    </r>
    <r>
      <rPr>
        <sz val="9"/>
        <color indexed="8"/>
        <rFont val="Arial"/>
        <family val="2"/>
      </rPr>
      <t>: Efektivitātes paaugstināšana centralizētajā siltumapgādes sistēmā, Jelgavā</t>
    </r>
  </si>
  <si>
    <r>
      <rPr>
        <b/>
        <sz val="9"/>
        <color indexed="8"/>
        <rFont val="Arial"/>
        <family val="2"/>
      </rPr>
      <t>Būves nosaukums</t>
    </r>
    <r>
      <rPr>
        <sz val="9"/>
        <color indexed="8"/>
        <rFont val="Arial"/>
        <family val="2"/>
      </rPr>
      <t xml:space="preserve">:  </t>
    </r>
    <r>
      <rPr>
        <sz val="9"/>
        <rFont val="Arial"/>
        <family val="2"/>
      </rPr>
      <t>I.grupas</t>
    </r>
    <r>
      <rPr>
        <sz val="9"/>
        <color indexed="8"/>
        <rFont val="Arial"/>
        <family val="2"/>
      </rPr>
      <t xml:space="preserve"> inženierbūves būvniecība</t>
    </r>
  </si>
  <si>
    <t>Nr.p. k.</t>
  </si>
  <si>
    <t>Kods</t>
  </si>
  <si>
    <t>Daudzums</t>
  </si>
  <si>
    <t>11</t>
  </si>
  <si>
    <t>12</t>
  </si>
  <si>
    <t>13</t>
  </si>
  <si>
    <t>14</t>
  </si>
  <si>
    <t>15</t>
  </si>
  <si>
    <t>Kalnc. 105</t>
  </si>
  <si>
    <t>Garozas 36</t>
  </si>
  <si>
    <t>Pētera 9</t>
  </si>
  <si>
    <t>Helmaņa 2A</t>
  </si>
  <si>
    <t>Pētera 9 CSP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</si>
  <si>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</si>
  <si>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</si>
  <si>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</si>
  <si>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</si>
  <si>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</si>
  <si>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</si>
  <si>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</si>
  <si>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</si>
  <si>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</si>
  <si>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</si>
  <si>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</si>
  <si>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</si>
  <si>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</si>
  <si>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</si>
  <si>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</si>
  <si>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</si>
  <si>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</si>
  <si>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</si>
  <si>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</si>
  <si>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</si>
  <si>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</si>
  <si>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DN 100</t>
  </si>
  <si>
    <t>DN 50</t>
  </si>
  <si>
    <t>DN 40</t>
  </si>
  <si>
    <t>DN 32</t>
  </si>
  <si>
    <t>DN 250</t>
  </si>
  <si>
    <t>DN 125</t>
  </si>
  <si>
    <t>DN 200, b=60 mm</t>
  </si>
  <si>
    <t>DN 150, b=50 mm</t>
  </si>
  <si>
    <t>DN 100, b=50 mm</t>
  </si>
  <si>
    <t>DN 80, b=50 mm</t>
  </si>
  <si>
    <t>DN 65, b=40 mm</t>
  </si>
  <si>
    <t>DN 50, b=40 mm</t>
  </si>
  <si>
    <t>DN 40, b=40 mm</t>
  </si>
  <si>
    <t>DN 32, b=40 mm</t>
  </si>
  <si>
    <t>DN 25, B=40 mm</t>
  </si>
  <si>
    <t>SIA "Gren Jelgava" inženiere L.Benīte</t>
  </si>
  <si>
    <t xml:space="preserve">Sagatavoja: </t>
  </si>
  <si>
    <t>Siltumizolācijas demontāža (t.sk. demontēto materiālu nogādāšana līdz celtniecības konteinerim)</t>
  </si>
  <si>
    <t>Darba zonas atbrīvošana no būvgružiem un atkritumiem, būvgružu utilizācija (t.sk.aizvešana līdz poligonam)</t>
  </si>
  <si>
    <t>Cauruļvadu balstu demontāža</t>
  </si>
  <si>
    <t>I. Demontāžas darbi</t>
  </si>
  <si>
    <t>II. Montāžas darbi</t>
  </si>
  <si>
    <t>III. Celtniecības darbi</t>
  </si>
  <si>
    <t>Cauruļvadu slīdošā balsta konstrukcijas grīdas</t>
  </si>
  <si>
    <t>Cauruļvada balsta konstrukcijas pamatne uz grīdas sastāvoša no:</t>
  </si>
  <si>
    <t>betons C20/25 vai ekvivalents</t>
  </si>
  <si>
    <t>tērauda loksne 160x160x 10mm (2gb.)</t>
  </si>
  <si>
    <t>tērauda stiegra B500B vai ekvivalents Ø12, L=0,25m (8gb.)</t>
  </si>
  <si>
    <r>
      <t>m</t>
    </r>
    <r>
      <rPr>
        <vertAlign val="superscript"/>
        <sz val="8"/>
        <color theme="1"/>
        <rFont val="Arial"/>
        <family val="2"/>
        <charset val="186"/>
      </rPr>
      <t>3</t>
    </r>
  </si>
  <si>
    <r>
      <t>m</t>
    </r>
    <r>
      <rPr>
        <vertAlign val="superscript"/>
        <sz val="8"/>
        <color theme="1"/>
        <rFont val="Arial"/>
        <family val="2"/>
        <charset val="186"/>
      </rPr>
      <t>2</t>
    </r>
  </si>
  <si>
    <t>Cauruļu virsmas krāsošana (t.sk.tīrīšana)</t>
  </si>
  <si>
    <t>kg.</t>
  </si>
  <si>
    <t>gruntējums GF-021 vai ekvivalents</t>
  </si>
  <si>
    <t>laka GF-BT-577 vai ekvivalents</t>
  </si>
  <si>
    <t>Garums, m</t>
  </si>
  <si>
    <t>Virsma, m2</t>
  </si>
  <si>
    <t>Cauruļvadu metināto savienojumu testēšana (hidrauliska- 100% no kopēja savienojuma skaita)</t>
  </si>
  <si>
    <t>37</t>
  </si>
  <si>
    <t>38</t>
  </si>
  <si>
    <t>39</t>
  </si>
  <si>
    <t>40</t>
  </si>
  <si>
    <t>41</t>
  </si>
  <si>
    <t>42</t>
  </si>
  <si>
    <t>43</t>
  </si>
  <si>
    <t>44</t>
  </si>
  <si>
    <r>
      <rPr>
        <b/>
        <sz val="9"/>
        <color indexed="8"/>
        <rFont val="Arial"/>
        <family val="2"/>
      </rPr>
      <t>Objekts:</t>
    </r>
    <r>
      <rPr>
        <sz val="9"/>
        <color indexed="8"/>
        <rFont val="Arial"/>
        <family val="2"/>
      </rPr>
      <t xml:space="preserve"> Siltumtrases pārbūve / siltumizolācijas atjaunošana </t>
    </r>
    <r>
      <rPr>
        <b/>
        <sz val="9"/>
        <color rgb="FF000000"/>
        <rFont val="Arial"/>
        <family val="2"/>
      </rPr>
      <t>(1.daļa)</t>
    </r>
  </si>
  <si>
    <t>Demontēt cauruļvadus un cauruļvadu sastāvdaļas (t.sk.demontēto siltumtrašu cauruļvadus, cauruļvadu sastāvdaļus un metāla saturošos elementus demontāža un nogādāšana Pasūtītāja noradītā vietā katlu mājas Ganību ielā 71 teritorijā)</t>
  </si>
  <si>
    <t>Izgriest bojatos cauruļvadus ap 10% no kopēja skaita (t.sk.demontēto siltumtrašu cauruļvadus, cauruļvadu sastāvdaļus un metāla saturošos elementus demontāža un nogādāšana Pasūtītāja noradītā vietā katlu mājas Ganību ielā 71 teritorijā)</t>
  </si>
  <si>
    <t>DN 150 (159,0 x 4,5 mm)</t>
  </si>
  <si>
    <t>DN 100 (114,3 x 3,2 mm)</t>
  </si>
  <si>
    <t>DN 80 (89,1 x 3,2 mm)</t>
  </si>
  <si>
    <t>DN 65 (76,1 x 3,2 mm)</t>
  </si>
  <si>
    <t>DN 50 (60,3 x 2,6 mm)</t>
  </si>
  <si>
    <t>DN 32 (42,4 x 2,6 mm)</t>
  </si>
  <si>
    <t>DN 40 (48,0 x 2,3 mm)</t>
  </si>
  <si>
    <t>Būvlaukuma sagatavošana (t.sk.sadzīves konteineru montāža, būvtafeles un EU informācijas platnes izgatavošana un montāža), būvobjekta nodošana ekspluatācija (t.sk.izpilduzmērijums)</t>
  </si>
  <si>
    <t>Iemetināmie lodveida krāni VEXVE PN16 vai ekvivalents</t>
  </si>
  <si>
    <t>gab.</t>
  </si>
  <si>
    <t>Cikulācijas sūkņus demontaža ((t.sk.demontēto siltumtrašu cauruļvadus, cauruļvadu sastāvdaļus un metāla saturošos elementus demontāža un nogādāšana Pasūtītāja noradītā vietā katlu mājas Ganību ielā 71 teritorijā)</t>
  </si>
  <si>
    <t>Siltumizolācijas montāža PAROC Hvac Section AluCoat T vai ekvivalents (t.sk.izolācijas līkumi PAROC Hvac Bend AluCoat T vai ekvivalents)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</si>
  <si>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</si>
  <si>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</si>
  <si>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</si>
  <si>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</si>
  <si>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</si>
  <si>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</si>
  <si>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</si>
  <si>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</si>
  <si>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</si>
  <si>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</si>
  <si>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</si>
  <si>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</si>
  <si>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</si>
  <si>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</si>
  <si>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</si>
  <si>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</si>
  <si>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</si>
  <si>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</si>
  <si>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</si>
  <si>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</si>
  <si>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</si>
  <si>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Izolācijas pārklājums PVC apvalks ISOFOL SE vai ekvivalents (t.sk.PVC kņopītes, kņopīšu bakstis, līmlentas, stieples)</t>
  </si>
  <si>
    <t>66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</si>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</sst>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_-;\-* #,##0_-;_-* &quot;-&quot;??_-;_-@_-"/>
    <numFmt numFmtId="166" formatCode="0.0"/>
  </numFmts>
  <fonts count="24" x14ac:knownFonts="1">
    <font>
      <sz val="11"/>
      <color theme="1"/>
      <name val="Calibri"/>
      <family val="2"/>
      <charset val="186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  <charset val="186"/>
    </font>
    <font>
      <sz val="11"/>
      <color indexed="8"/>
      <name val="Calibri"/>
      <family val="2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name val="Aptos Narrow"/>
      <family val="2"/>
      <charset val="186"/>
    </font>
    <font>
      <sz val="8"/>
      <color theme="1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10"/>
      <name val="Arial"/>
      <family val="2"/>
      <charset val="186"/>
    </font>
    <font>
      <sz val="8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  <charset val="186"/>
    </font>
    <font>
      <sz val="8"/>
      <color theme="1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left" vertical="center" indent="1"/>
    </xf>
    <xf numFmtId="2" fontId="2" fillId="0" borderId="0" xfId="0" applyNumberFormat="1" applyFont="1"/>
    <xf numFmtId="0" fontId="2" fillId="0" borderId="0" xfId="0" applyFont="1" applyAlignment="1">
      <alignment textRotation="255"/>
    </xf>
    <xf numFmtId="0" fontId="9" fillId="4" borderId="0" xfId="5" applyFont="1" applyFill="1"/>
    <xf numFmtId="0" fontId="4" fillId="0" borderId="0" xfId="6" applyFont="1"/>
    <xf numFmtId="0" fontId="1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" fillId="0" borderId="0" xfId="6" applyFont="1"/>
    <xf numFmtId="0" fontId="9" fillId="0" borderId="0" xfId="5" applyFont="1"/>
    <xf numFmtId="0" fontId="4" fillId="0" borderId="0" xfId="7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wrapText="1"/>
    </xf>
    <xf numFmtId="0" fontId="11" fillId="0" borderId="0" xfId="7" applyFont="1" applyAlignment="1">
      <alignment vertical="center"/>
    </xf>
    <xf numFmtId="0" fontId="13" fillId="4" borderId="0" xfId="5" applyFont="1" applyFill="1" applyAlignment="1">
      <alignment horizontal="center"/>
    </xf>
    <xf numFmtId="0" fontId="14" fillId="0" borderId="0" xfId="5" applyFont="1"/>
    <xf numFmtId="0" fontId="14" fillId="2" borderId="1" xfId="5" applyFont="1" applyFill="1" applyBorder="1" applyAlignment="1">
      <alignment horizontal="left" vertical="center" indent="2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7" fillId="4" borderId="0" xfId="5" applyFont="1" applyFill="1" applyAlignment="1">
      <alignment vertical="top" wrapText="1"/>
    </xf>
    <xf numFmtId="0" fontId="9" fillId="2" borderId="1" xfId="5" applyFont="1" applyFill="1" applyBorder="1" applyAlignment="1">
      <alignment horizontal="center" vertical="top" wrapText="1"/>
    </xf>
    <xf numFmtId="165" fontId="18" fillId="2" borderId="1" xfId="5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textRotation="90"/>
    </xf>
    <xf numFmtId="0" fontId="15" fillId="5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6" fillId="0" borderId="1" xfId="0" applyFont="1" applyBorder="1"/>
    <xf numFmtId="0" fontId="9" fillId="0" borderId="1" xfId="0" applyFont="1" applyBorder="1" applyAlignment="1">
      <alignment horizontal="left" vertical="center" wrapText="1" indent="1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 indent="10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left" vertical="center" indent="1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7"/>
    </xf>
    <xf numFmtId="0" fontId="16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textRotation="90"/>
    </xf>
    <xf numFmtId="166" fontId="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5" applyFont="1" applyFill="1" applyBorder="1" applyAlignment="1">
      <alignment horizontal="center" vertical="center" textRotation="90"/>
    </xf>
    <xf numFmtId="0" fontId="14" fillId="5" borderId="1" xfId="0" applyFont="1" applyFill="1" applyBorder="1" applyAlignment="1">
      <alignment horizontal="center" vertical="center" textRotation="90"/>
    </xf>
  </cellXfs>
  <cellStyles count="9">
    <cellStyle name="Accent1 6" xfId="2" xr:uid="{00000000-0005-0000-0000-000000000000}"/>
    <cellStyle name="Normal 2" xfId="1" xr:uid="{00000000-0005-0000-0000-000001000000}"/>
    <cellStyle name="Normal 5 2 2" xfId="4" xr:uid="{00000000-0005-0000-0000-000002000000}"/>
    <cellStyle name="Normal 5 3" xfId="3" xr:uid="{00000000-0005-0000-0000-000003000000}"/>
    <cellStyle name="Parasts" xfId="0" builtinId="0"/>
    <cellStyle name="Parasts 2" xfId="5" xr:uid="{00000000-0005-0000-0000-000006000000}"/>
    <cellStyle name="Parasts 2 2" xfId="6" xr:uid="{901D922F-8C5D-4BBE-BA01-0D5700709E2B}"/>
    <cellStyle name="Parasts 2 3" xfId="8" xr:uid="{48FFE3C4-BE6B-43E0-8B6D-30F39065936E}"/>
    <cellStyle name="Parasts 4" xfId="7" xr:uid="{D145A6D7-87B0-4EB0-A055-560869377BA4}"/>
  </cellStyles>
  <dxfs count="2">
    <dxf>
      <font>
        <condense val="0"/>
        <extend val="0"/>
        <color rgb="FFFFFFFF"/>
      </font>
    </dxf>
    <dxf>
      <font>
        <condense val="0"/>
        <extend val="0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A6FC-EE3B-41AC-9A91-BF5F54D0A7F9}">
  <dimension ref="B1:AQ104"/>
  <sheetViews>
    <sheetView showGridLines="0" tabSelected="1" zoomScale="145" zoomScaleNormal="145" zoomScaleSheetLayoutView="80" workbookViewId="0">
      <selection activeCell="AJ2" sqref="AJ2"/>
    </sheetView>
  </sheetViews>
  <sheetFormatPr defaultColWidth="9.1796875" defaultRowHeight="14" outlineLevelCol="2" x14ac:dyDescent="0.3"/>
  <cols>
    <col min="1" max="1" width="7.1796875" style="1" customWidth="1"/>
    <col min="2" max="2" width="4.453125" style="1" customWidth="1"/>
    <col min="3" max="3" width="7.54296875" style="1" customWidth="1"/>
    <col min="4" max="4" width="40.453125" style="1" customWidth="1"/>
    <col min="5" max="6" width="7.453125" style="1" customWidth="1"/>
    <col min="7" max="7" width="6" style="1" hidden="1" customWidth="1" outlineLevel="2"/>
    <col min="8" max="8" width="6.54296875" style="1" hidden="1" customWidth="1" outlineLevel="2"/>
    <col min="9" max="9" width="7.26953125" style="1" hidden="1" customWidth="1" outlineLevel="2"/>
    <col min="10" max="12" width="5.7265625" style="1" hidden="1" customWidth="1" outlineLevel="2"/>
    <col min="13" max="13" width="5.1796875" style="1" hidden="1" customWidth="1" outlineLevel="2"/>
    <col min="14" max="31" width="5.7265625" style="1" hidden="1" customWidth="1" outlineLevel="2"/>
    <col min="32" max="32" width="5.7265625" style="1" hidden="1" customWidth="1" outlineLevel="1" collapsed="1"/>
    <col min="33" max="35" width="5.7265625" style="1" hidden="1" customWidth="1" outlineLevel="1"/>
    <col min="36" max="36" width="11.54296875" style="1" customWidth="1" collapsed="1"/>
    <col min="37" max="39" width="9.1796875" style="1"/>
    <col min="40" max="40" width="6.453125" style="1" customWidth="1"/>
    <col min="41" max="41" width="6.54296875" style="1" customWidth="1"/>
    <col min="42" max="42" width="5.7265625" style="1" customWidth="1"/>
    <col min="43" max="16384" width="9.1796875" style="1"/>
  </cols>
  <sheetData>
    <row r="1" spans="2:37" x14ac:dyDescent="0.3">
      <c r="AJ1" s="34" t="s">
        <v>194</v>
      </c>
    </row>
    <row r="2" spans="2:37" s="7" customFormat="1" ht="16" customHeight="1" x14ac:dyDescent="0.25">
      <c r="B2" s="8"/>
      <c r="C2" s="9"/>
      <c r="D2" s="10" t="s">
        <v>73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9"/>
      <c r="AK2" s="11"/>
    </row>
    <row r="3" spans="2:37" s="12" customFormat="1" ht="15" customHeight="1" x14ac:dyDescent="0.25">
      <c r="B3" s="13" t="s">
        <v>74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8"/>
      <c r="AE3" s="8"/>
      <c r="AF3" s="8"/>
      <c r="AG3" s="8"/>
      <c r="AH3" s="8"/>
      <c r="AI3" s="8"/>
      <c r="AJ3" s="14"/>
      <c r="AK3" s="8"/>
    </row>
    <row r="4" spans="2:37" s="12" customFormat="1" ht="15" customHeight="1" x14ac:dyDescent="0.25">
      <c r="B4" s="16" t="s">
        <v>75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5"/>
      <c r="AB4" s="15"/>
      <c r="AC4" s="15"/>
      <c r="AD4" s="8"/>
      <c r="AE4" s="8"/>
      <c r="AF4" s="8"/>
      <c r="AG4" s="8"/>
      <c r="AH4" s="8"/>
      <c r="AI4" s="8"/>
      <c r="AJ4" s="14"/>
      <c r="AK4" s="8"/>
    </row>
    <row r="5" spans="2:37" s="12" customFormat="1" ht="15" customHeight="1" x14ac:dyDescent="0.25">
      <c r="B5" s="16" t="s">
        <v>156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  <c r="AA5" s="15"/>
      <c r="AB5" s="15"/>
      <c r="AC5" s="15"/>
      <c r="AD5" s="8"/>
      <c r="AE5" s="8"/>
      <c r="AF5" s="8"/>
      <c r="AG5" s="8"/>
      <c r="AH5" s="8"/>
      <c r="AI5" s="8"/>
      <c r="AJ5" s="14"/>
      <c r="AK5" s="8"/>
    </row>
    <row r="6" spans="2:37" s="12" customFormat="1" ht="15" customHeight="1" x14ac:dyDescent="0.25">
      <c r="B6" s="13" t="s">
        <v>76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  <c r="AA6" s="15"/>
      <c r="AB6" s="15"/>
      <c r="AC6" s="15"/>
      <c r="AD6" s="8"/>
      <c r="AE6" s="8"/>
      <c r="AF6" s="8"/>
      <c r="AG6" s="8"/>
      <c r="AH6" s="8"/>
      <c r="AI6" s="8"/>
      <c r="AJ6" s="14"/>
      <c r="AK6" s="8"/>
    </row>
    <row r="7" spans="2:37" s="7" customFormat="1" ht="7.5" customHeight="1" x14ac:dyDescent="0.25">
      <c r="C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AJ7" s="18"/>
    </row>
    <row r="8" spans="2:37" s="6" customFormat="1" ht="21.75" customHeight="1" x14ac:dyDescent="0.35">
      <c r="B8" s="53" t="s">
        <v>77</v>
      </c>
      <c r="C8" s="53" t="s">
        <v>78</v>
      </c>
      <c r="D8" s="52" t="s">
        <v>0</v>
      </c>
      <c r="E8" s="54" t="s">
        <v>1</v>
      </c>
      <c r="F8" s="54" t="s">
        <v>79</v>
      </c>
      <c r="G8" s="28" t="s">
        <v>20</v>
      </c>
      <c r="H8" s="28" t="s">
        <v>21</v>
      </c>
      <c r="I8" s="28" t="s">
        <v>22</v>
      </c>
      <c r="J8" s="28" t="s">
        <v>23</v>
      </c>
      <c r="K8" s="28" t="s">
        <v>24</v>
      </c>
      <c r="L8" s="28" t="s">
        <v>25</v>
      </c>
      <c r="M8" s="28" t="s">
        <v>26</v>
      </c>
      <c r="N8" s="28" t="s">
        <v>27</v>
      </c>
      <c r="O8" s="28" t="s">
        <v>28</v>
      </c>
      <c r="P8" s="28" t="s">
        <v>29</v>
      </c>
      <c r="Q8" s="28" t="s">
        <v>30</v>
      </c>
      <c r="R8" s="28" t="s">
        <v>31</v>
      </c>
      <c r="S8" s="28" t="s">
        <v>32</v>
      </c>
      <c r="T8" s="28" t="s">
        <v>33</v>
      </c>
      <c r="U8" s="28" t="s">
        <v>34</v>
      </c>
      <c r="V8" s="28" t="s">
        <v>35</v>
      </c>
      <c r="W8" s="28" t="s">
        <v>36</v>
      </c>
      <c r="X8" s="28" t="s">
        <v>37</v>
      </c>
      <c r="Y8" s="28" t="s">
        <v>38</v>
      </c>
      <c r="Z8" s="28" t="s">
        <v>39</v>
      </c>
      <c r="AA8" s="28" t="s">
        <v>40</v>
      </c>
      <c r="AB8" s="28" t="s">
        <v>41</v>
      </c>
      <c r="AC8" s="28" t="s">
        <v>42</v>
      </c>
      <c r="AD8" s="28" t="s">
        <v>43</v>
      </c>
      <c r="AE8" s="28" t="s">
        <v>44</v>
      </c>
      <c r="AF8" s="44" t="s">
        <v>45</v>
      </c>
      <c r="AG8" s="44" t="s">
        <v>46</v>
      </c>
      <c r="AH8" s="44" t="s">
        <v>47</v>
      </c>
      <c r="AI8" s="44" t="s">
        <v>48</v>
      </c>
      <c r="AJ8" s="52" t="s">
        <v>2</v>
      </c>
    </row>
    <row r="9" spans="2:37" ht="54.5" x14ac:dyDescent="0.3">
      <c r="B9" s="53"/>
      <c r="C9" s="53"/>
      <c r="D9" s="52"/>
      <c r="E9" s="54"/>
      <c r="F9" s="54"/>
      <c r="G9" s="27" t="s">
        <v>49</v>
      </c>
      <c r="H9" s="27" t="s">
        <v>50</v>
      </c>
      <c r="I9" s="27" t="s">
        <v>51</v>
      </c>
      <c r="J9" s="27" t="s">
        <v>52</v>
      </c>
      <c r="K9" s="27" t="s">
        <v>53</v>
      </c>
      <c r="L9" s="27" t="s">
        <v>54</v>
      </c>
      <c r="M9" s="27" t="s">
        <v>55</v>
      </c>
      <c r="N9" s="27" t="s">
        <v>56</v>
      </c>
      <c r="O9" s="27" t="s">
        <v>57</v>
      </c>
      <c r="P9" s="27" t="s">
        <v>58</v>
      </c>
      <c r="Q9" s="27" t="s">
        <v>59</v>
      </c>
      <c r="R9" s="27" t="s">
        <v>60</v>
      </c>
      <c r="S9" s="27" t="s">
        <v>61</v>
      </c>
      <c r="T9" s="27" t="s">
        <v>62</v>
      </c>
      <c r="U9" s="27" t="s">
        <v>63</v>
      </c>
      <c r="V9" s="27" t="s">
        <v>64</v>
      </c>
      <c r="W9" s="27" t="s">
        <v>65</v>
      </c>
      <c r="X9" s="27" t="s">
        <v>66</v>
      </c>
      <c r="Y9" s="27" t="s">
        <v>85</v>
      </c>
      <c r="Z9" s="27" t="s">
        <v>67</v>
      </c>
      <c r="AA9" s="27" t="s">
        <v>68</v>
      </c>
      <c r="AB9" s="27" t="s">
        <v>69</v>
      </c>
      <c r="AC9" s="27" t="s">
        <v>70</v>
      </c>
      <c r="AD9" s="27" t="s">
        <v>71</v>
      </c>
      <c r="AE9" s="27" t="s">
        <v>72</v>
      </c>
      <c r="AF9" s="45" t="s">
        <v>86</v>
      </c>
      <c r="AG9" s="45" t="s">
        <v>87</v>
      </c>
      <c r="AH9" s="45" t="s">
        <v>88</v>
      </c>
      <c r="AI9" s="45" t="s">
        <v>89</v>
      </c>
      <c r="AJ9" s="52"/>
    </row>
    <row r="10" spans="2:37" s="24" customFormat="1" ht="10.5" x14ac:dyDescent="0.35">
      <c r="B10" s="25"/>
      <c r="C10" s="25"/>
      <c r="D10" s="19" t="s">
        <v>131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37" ht="40" x14ac:dyDescent="0.3">
      <c r="B11" s="20" t="s">
        <v>5</v>
      </c>
      <c r="C11" s="20"/>
      <c r="D11" s="43" t="s">
        <v>169</v>
      </c>
      <c r="E11" s="21" t="s">
        <v>3</v>
      </c>
      <c r="F11" s="22">
        <f t="shared" ref="F11" si="0">SUM(G11:AI11)</f>
        <v>1</v>
      </c>
      <c r="G11" s="21"/>
      <c r="H11" s="21"/>
      <c r="I11" s="23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32"/>
      <c r="AH11" s="32"/>
      <c r="AI11" s="32">
        <v>1</v>
      </c>
      <c r="AJ11" s="22"/>
    </row>
    <row r="12" spans="2:37" ht="50" x14ac:dyDescent="0.3">
      <c r="B12" s="20" t="s">
        <v>7</v>
      </c>
      <c r="C12" s="20"/>
      <c r="D12" s="43" t="s">
        <v>157</v>
      </c>
      <c r="E12" s="21"/>
      <c r="F12" s="22"/>
      <c r="G12" s="21"/>
      <c r="H12" s="21"/>
      <c r="I12" s="23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22"/>
    </row>
    <row r="13" spans="2:37" x14ac:dyDescent="0.3">
      <c r="B13" s="20" t="s">
        <v>6</v>
      </c>
      <c r="C13" s="20"/>
      <c r="D13" s="31" t="s">
        <v>115</v>
      </c>
      <c r="E13" s="21" t="s">
        <v>10</v>
      </c>
      <c r="F13" s="22">
        <f>SUM(G13:AI13)</f>
        <v>152</v>
      </c>
      <c r="G13" s="21"/>
      <c r="H13" s="21"/>
      <c r="I13" s="23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32">
        <v>152</v>
      </c>
      <c r="AH13" s="32"/>
      <c r="AI13" s="32"/>
      <c r="AJ13" s="22"/>
    </row>
    <row r="14" spans="2:37" x14ac:dyDescent="0.3">
      <c r="B14" s="20" t="s">
        <v>4</v>
      </c>
      <c r="C14" s="20"/>
      <c r="D14" s="31" t="s">
        <v>116</v>
      </c>
      <c r="E14" s="21" t="s">
        <v>10</v>
      </c>
      <c r="F14" s="22">
        <f t="shared" ref="F14:F16" si="1">SUM(G14:AI14)</f>
        <v>80</v>
      </c>
      <c r="G14" s="21"/>
      <c r="H14" s="21"/>
      <c r="I14" s="23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32"/>
      <c r="AH14" s="32"/>
      <c r="AI14" s="32">
        <v>80</v>
      </c>
      <c r="AJ14" s="22"/>
    </row>
    <row r="15" spans="2:37" x14ac:dyDescent="0.3">
      <c r="B15" s="20" t="s">
        <v>9</v>
      </c>
      <c r="C15" s="20"/>
      <c r="D15" s="31" t="s">
        <v>111</v>
      </c>
      <c r="E15" s="21" t="s">
        <v>10</v>
      </c>
      <c r="F15" s="22">
        <f t="shared" si="1"/>
        <v>66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32"/>
      <c r="AH15" s="32">
        <v>66</v>
      </c>
      <c r="AI15" s="32"/>
      <c r="AJ15" s="22"/>
    </row>
    <row r="16" spans="2:37" x14ac:dyDescent="0.3">
      <c r="B16" s="20" t="s">
        <v>15</v>
      </c>
      <c r="C16" s="20"/>
      <c r="D16" s="31" t="s">
        <v>19</v>
      </c>
      <c r="E16" s="21" t="s">
        <v>10</v>
      </c>
      <c r="F16" s="22">
        <f t="shared" si="1"/>
        <v>102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>
        <v>76</v>
      </c>
      <c r="AG16" s="32"/>
      <c r="AH16" s="32"/>
      <c r="AI16" s="32">
        <f>13*2</f>
        <v>26</v>
      </c>
      <c r="AJ16" s="22"/>
    </row>
    <row r="17" spans="2:36" ht="50" customHeight="1" x14ac:dyDescent="0.3">
      <c r="B17" s="20" t="s">
        <v>18</v>
      </c>
      <c r="C17" s="20"/>
      <c r="D17" s="43" t="s">
        <v>158</v>
      </c>
      <c r="E17" s="21"/>
      <c r="F17" s="22"/>
      <c r="G17" s="21"/>
      <c r="H17" s="21"/>
      <c r="I17" s="23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32"/>
      <c r="AH17" s="32"/>
      <c r="AI17" s="32"/>
      <c r="AJ17" s="22"/>
    </row>
    <row r="18" spans="2:36" x14ac:dyDescent="0.3">
      <c r="B18" s="20" t="s">
        <v>8</v>
      </c>
      <c r="C18" s="20"/>
      <c r="D18" s="31" t="s">
        <v>14</v>
      </c>
      <c r="E18" s="21" t="s">
        <v>10</v>
      </c>
      <c r="F18" s="22">
        <f t="shared" ref="F18:F24" si="2">SUM(G18:AI18)</f>
        <v>11.5</v>
      </c>
      <c r="G18" s="21">
        <f>G27*0.1</f>
        <v>0</v>
      </c>
      <c r="H18" s="21">
        <f t="shared" ref="H18:AE18" si="3">H27*0.1</f>
        <v>0</v>
      </c>
      <c r="I18" s="21">
        <f t="shared" si="3"/>
        <v>0</v>
      </c>
      <c r="J18" s="21">
        <f t="shared" si="3"/>
        <v>0</v>
      </c>
      <c r="K18" s="21">
        <f t="shared" si="3"/>
        <v>0</v>
      </c>
      <c r="L18" s="21">
        <f t="shared" si="3"/>
        <v>0</v>
      </c>
      <c r="M18" s="21">
        <f t="shared" si="3"/>
        <v>0</v>
      </c>
      <c r="N18" s="21">
        <f t="shared" si="3"/>
        <v>0</v>
      </c>
      <c r="O18" s="21">
        <f t="shared" si="3"/>
        <v>0</v>
      </c>
      <c r="P18" s="21">
        <f t="shared" si="3"/>
        <v>11.5</v>
      </c>
      <c r="Q18" s="21">
        <f t="shared" si="3"/>
        <v>0</v>
      </c>
      <c r="R18" s="21">
        <f t="shared" si="3"/>
        <v>0</v>
      </c>
      <c r="S18" s="21">
        <f t="shared" si="3"/>
        <v>0</v>
      </c>
      <c r="T18" s="21">
        <f t="shared" si="3"/>
        <v>0</v>
      </c>
      <c r="U18" s="21">
        <f t="shared" si="3"/>
        <v>0</v>
      </c>
      <c r="V18" s="21">
        <f t="shared" si="3"/>
        <v>0</v>
      </c>
      <c r="W18" s="21">
        <f t="shared" si="3"/>
        <v>0</v>
      </c>
      <c r="X18" s="21">
        <f t="shared" si="3"/>
        <v>0</v>
      </c>
      <c r="Y18" s="21">
        <f t="shared" si="3"/>
        <v>0</v>
      </c>
      <c r="Z18" s="21">
        <f t="shared" si="3"/>
        <v>0</v>
      </c>
      <c r="AA18" s="21">
        <f t="shared" si="3"/>
        <v>0</v>
      </c>
      <c r="AB18" s="21">
        <f t="shared" si="3"/>
        <v>0</v>
      </c>
      <c r="AC18" s="21">
        <f t="shared" si="3"/>
        <v>0</v>
      </c>
      <c r="AD18" s="21">
        <f t="shared" si="3"/>
        <v>0</v>
      </c>
      <c r="AE18" s="21">
        <f t="shared" si="3"/>
        <v>0</v>
      </c>
      <c r="AF18" s="21"/>
      <c r="AG18" s="32"/>
      <c r="AH18" s="32"/>
      <c r="AI18" s="32"/>
      <c r="AJ18" s="22"/>
    </row>
    <row r="19" spans="2:36" x14ac:dyDescent="0.3">
      <c r="B19" s="20" t="s">
        <v>11</v>
      </c>
      <c r="C19" s="20"/>
      <c r="D19" s="31" t="s">
        <v>111</v>
      </c>
      <c r="E19" s="21" t="s">
        <v>10</v>
      </c>
      <c r="F19" s="22">
        <f t="shared" si="2"/>
        <v>42.800000000000004</v>
      </c>
      <c r="G19" s="21">
        <f>G29*0.1</f>
        <v>0</v>
      </c>
      <c r="H19" s="21">
        <f t="shared" ref="H19:AE19" si="4">H29*0.1</f>
        <v>8</v>
      </c>
      <c r="I19" s="21">
        <f t="shared" si="4"/>
        <v>3.2</v>
      </c>
      <c r="J19" s="21">
        <f t="shared" si="4"/>
        <v>0</v>
      </c>
      <c r="K19" s="21">
        <f t="shared" si="4"/>
        <v>0</v>
      </c>
      <c r="L19" s="21">
        <f t="shared" si="4"/>
        <v>4.2</v>
      </c>
      <c r="M19" s="21">
        <f t="shared" si="4"/>
        <v>0</v>
      </c>
      <c r="N19" s="21">
        <f t="shared" si="4"/>
        <v>0</v>
      </c>
      <c r="O19" s="21">
        <f t="shared" si="4"/>
        <v>0</v>
      </c>
      <c r="P19" s="21">
        <f t="shared" si="4"/>
        <v>0</v>
      </c>
      <c r="Q19" s="21">
        <f t="shared" si="4"/>
        <v>6.6000000000000005</v>
      </c>
      <c r="R19" s="21">
        <f t="shared" si="4"/>
        <v>0</v>
      </c>
      <c r="S19" s="21">
        <f t="shared" si="4"/>
        <v>0</v>
      </c>
      <c r="T19" s="21">
        <f t="shared" si="4"/>
        <v>0</v>
      </c>
      <c r="U19" s="21">
        <f t="shared" si="4"/>
        <v>0</v>
      </c>
      <c r="V19" s="21">
        <f t="shared" si="4"/>
        <v>0</v>
      </c>
      <c r="W19" s="21">
        <f t="shared" si="4"/>
        <v>0.60000000000000009</v>
      </c>
      <c r="X19" s="21">
        <f t="shared" si="4"/>
        <v>3.4000000000000004</v>
      </c>
      <c r="Y19" s="21">
        <f t="shared" si="4"/>
        <v>9.6000000000000014</v>
      </c>
      <c r="Z19" s="21">
        <f t="shared" si="4"/>
        <v>7</v>
      </c>
      <c r="AA19" s="21">
        <f t="shared" si="4"/>
        <v>0</v>
      </c>
      <c r="AB19" s="21">
        <f t="shared" si="4"/>
        <v>0</v>
      </c>
      <c r="AC19" s="21">
        <f t="shared" si="4"/>
        <v>0.2</v>
      </c>
      <c r="AD19" s="21">
        <f t="shared" si="4"/>
        <v>0</v>
      </c>
      <c r="AE19" s="21">
        <f t="shared" si="4"/>
        <v>0</v>
      </c>
      <c r="AF19" s="21"/>
      <c r="AG19" s="32"/>
      <c r="AH19" s="32"/>
      <c r="AI19" s="32"/>
      <c r="AJ19" s="22"/>
    </row>
    <row r="20" spans="2:36" x14ac:dyDescent="0.3">
      <c r="B20" s="20" t="s">
        <v>12</v>
      </c>
      <c r="C20" s="20"/>
      <c r="D20" s="31" t="s">
        <v>19</v>
      </c>
      <c r="E20" s="21" t="s">
        <v>10</v>
      </c>
      <c r="F20" s="22">
        <f t="shared" si="2"/>
        <v>97.800000000000011</v>
      </c>
      <c r="G20" s="21">
        <f>G30*0.1</f>
        <v>0</v>
      </c>
      <c r="H20" s="21">
        <f t="shared" ref="H20:AE20" si="5">H30*0.1</f>
        <v>0</v>
      </c>
      <c r="I20" s="21">
        <f t="shared" si="5"/>
        <v>0</v>
      </c>
      <c r="J20" s="21">
        <f t="shared" si="5"/>
        <v>2.2000000000000002</v>
      </c>
      <c r="K20" s="21">
        <f t="shared" si="5"/>
        <v>0</v>
      </c>
      <c r="L20" s="21">
        <f t="shared" si="5"/>
        <v>0</v>
      </c>
      <c r="M20" s="21">
        <f t="shared" si="5"/>
        <v>16</v>
      </c>
      <c r="N20" s="21">
        <f t="shared" si="5"/>
        <v>0</v>
      </c>
      <c r="O20" s="21">
        <f t="shared" si="5"/>
        <v>0.8</v>
      </c>
      <c r="P20" s="21">
        <f t="shared" si="5"/>
        <v>0</v>
      </c>
      <c r="Q20" s="21">
        <f t="shared" si="5"/>
        <v>6.4</v>
      </c>
      <c r="R20" s="21">
        <f t="shared" si="5"/>
        <v>13.200000000000001</v>
      </c>
      <c r="S20" s="21">
        <f t="shared" si="5"/>
        <v>0</v>
      </c>
      <c r="T20" s="21">
        <f t="shared" si="5"/>
        <v>2.8000000000000003</v>
      </c>
      <c r="U20" s="21">
        <f t="shared" si="5"/>
        <v>0</v>
      </c>
      <c r="V20" s="21">
        <f t="shared" si="5"/>
        <v>6.2</v>
      </c>
      <c r="W20" s="21">
        <f t="shared" si="5"/>
        <v>6</v>
      </c>
      <c r="X20" s="21">
        <f t="shared" si="5"/>
        <v>0</v>
      </c>
      <c r="Y20" s="21">
        <f t="shared" si="5"/>
        <v>0</v>
      </c>
      <c r="Z20" s="21">
        <f t="shared" si="5"/>
        <v>6.8000000000000007</v>
      </c>
      <c r="AA20" s="21">
        <f t="shared" si="5"/>
        <v>9</v>
      </c>
      <c r="AB20" s="21">
        <f t="shared" si="5"/>
        <v>0</v>
      </c>
      <c r="AC20" s="21">
        <f t="shared" si="5"/>
        <v>22.200000000000003</v>
      </c>
      <c r="AD20" s="21">
        <f t="shared" si="5"/>
        <v>0</v>
      </c>
      <c r="AE20" s="21">
        <f t="shared" si="5"/>
        <v>6.2</v>
      </c>
      <c r="AF20" s="21"/>
      <c r="AG20" s="32"/>
      <c r="AH20" s="32"/>
      <c r="AI20" s="32"/>
      <c r="AJ20" s="22"/>
    </row>
    <row r="21" spans="2:36" x14ac:dyDescent="0.3">
      <c r="B21" s="20" t="s">
        <v>80</v>
      </c>
      <c r="C21" s="20"/>
      <c r="D21" s="31" t="s">
        <v>17</v>
      </c>
      <c r="E21" s="21" t="s">
        <v>10</v>
      </c>
      <c r="F21" s="22">
        <f t="shared" si="2"/>
        <v>145.80000000000001</v>
      </c>
      <c r="G21" s="22">
        <f>G31*0.1</f>
        <v>8.6</v>
      </c>
      <c r="H21" s="22">
        <f t="shared" ref="H21:AE21" si="6">H31*0.1</f>
        <v>6.8000000000000007</v>
      </c>
      <c r="I21" s="22">
        <f t="shared" si="6"/>
        <v>6</v>
      </c>
      <c r="J21" s="22">
        <f t="shared" si="6"/>
        <v>12.600000000000001</v>
      </c>
      <c r="K21" s="22">
        <f t="shared" si="6"/>
        <v>13.600000000000001</v>
      </c>
      <c r="L21" s="22">
        <f t="shared" si="6"/>
        <v>4</v>
      </c>
      <c r="M21" s="22">
        <f t="shared" si="6"/>
        <v>0.30000000000000004</v>
      </c>
      <c r="N21" s="22">
        <f t="shared" si="6"/>
        <v>0.2</v>
      </c>
      <c r="O21" s="22">
        <f t="shared" si="6"/>
        <v>16.400000000000002</v>
      </c>
      <c r="P21" s="22">
        <f t="shared" si="6"/>
        <v>0</v>
      </c>
      <c r="Q21" s="22">
        <f t="shared" si="6"/>
        <v>1.4000000000000001</v>
      </c>
      <c r="R21" s="22">
        <f t="shared" si="6"/>
        <v>9.1</v>
      </c>
      <c r="S21" s="22">
        <f t="shared" si="6"/>
        <v>8</v>
      </c>
      <c r="T21" s="22">
        <f t="shared" si="6"/>
        <v>0</v>
      </c>
      <c r="U21" s="22">
        <f t="shared" si="6"/>
        <v>6.4</v>
      </c>
      <c r="V21" s="22">
        <f t="shared" si="6"/>
        <v>7.2</v>
      </c>
      <c r="W21" s="22">
        <f t="shared" si="6"/>
        <v>0.4</v>
      </c>
      <c r="X21" s="22">
        <f t="shared" si="6"/>
        <v>2.4000000000000004</v>
      </c>
      <c r="Y21" s="22">
        <f t="shared" si="6"/>
        <v>0.60000000000000009</v>
      </c>
      <c r="Z21" s="22">
        <f t="shared" si="6"/>
        <v>3.4000000000000004</v>
      </c>
      <c r="AA21" s="22">
        <f t="shared" si="6"/>
        <v>6</v>
      </c>
      <c r="AB21" s="22">
        <f t="shared" si="6"/>
        <v>8.6</v>
      </c>
      <c r="AC21" s="22">
        <f t="shared" si="6"/>
        <v>3.2</v>
      </c>
      <c r="AD21" s="22">
        <f t="shared" si="6"/>
        <v>11</v>
      </c>
      <c r="AE21" s="22">
        <f t="shared" si="6"/>
        <v>9.6000000000000014</v>
      </c>
      <c r="AF21" s="21"/>
      <c r="AG21" s="32"/>
      <c r="AH21" s="32"/>
      <c r="AI21" s="32"/>
      <c r="AJ21" s="22"/>
    </row>
    <row r="22" spans="2:36" x14ac:dyDescent="0.3">
      <c r="B22" s="20" t="s">
        <v>81</v>
      </c>
      <c r="C22" s="20"/>
      <c r="D22" s="31" t="s">
        <v>112</v>
      </c>
      <c r="E22" s="21" t="s">
        <v>10</v>
      </c>
      <c r="F22" s="22">
        <f t="shared" si="2"/>
        <v>4.5</v>
      </c>
      <c r="G22" s="22">
        <f>G32*0.1</f>
        <v>0</v>
      </c>
      <c r="H22" s="22">
        <f t="shared" ref="H22:AE22" si="7">H32*0.1</f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0.30000000000000004</v>
      </c>
      <c r="M22" s="22">
        <f t="shared" si="7"/>
        <v>0</v>
      </c>
      <c r="N22" s="22">
        <f t="shared" si="7"/>
        <v>0.4</v>
      </c>
      <c r="O22" s="22">
        <f t="shared" si="7"/>
        <v>0</v>
      </c>
      <c r="P22" s="22">
        <f t="shared" si="7"/>
        <v>0.60000000000000009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0</v>
      </c>
      <c r="U22" s="22">
        <f t="shared" si="7"/>
        <v>0</v>
      </c>
      <c r="V22" s="22">
        <f t="shared" si="7"/>
        <v>0</v>
      </c>
      <c r="W22" s="22">
        <f t="shared" si="7"/>
        <v>0</v>
      </c>
      <c r="X22" s="22">
        <f t="shared" si="7"/>
        <v>3.2</v>
      </c>
      <c r="Y22" s="22">
        <f t="shared" si="7"/>
        <v>0</v>
      </c>
      <c r="Z22" s="22">
        <f t="shared" si="7"/>
        <v>0</v>
      </c>
      <c r="AA22" s="22">
        <f t="shared" si="7"/>
        <v>0</v>
      </c>
      <c r="AB22" s="22">
        <f t="shared" si="7"/>
        <v>0</v>
      </c>
      <c r="AC22" s="22">
        <f t="shared" si="7"/>
        <v>0</v>
      </c>
      <c r="AD22" s="22">
        <f t="shared" si="7"/>
        <v>0</v>
      </c>
      <c r="AE22" s="22">
        <f t="shared" si="7"/>
        <v>0</v>
      </c>
      <c r="AF22" s="21"/>
      <c r="AG22" s="32"/>
      <c r="AH22" s="32"/>
      <c r="AI22" s="32"/>
      <c r="AJ22" s="22"/>
    </row>
    <row r="23" spans="2:36" x14ac:dyDescent="0.3">
      <c r="B23" s="20" t="s">
        <v>82</v>
      </c>
      <c r="C23" s="20"/>
      <c r="D23" s="31" t="s">
        <v>113</v>
      </c>
      <c r="E23" s="21" t="s">
        <v>10</v>
      </c>
      <c r="F23" s="22">
        <f t="shared" si="2"/>
        <v>5.6000000000000005</v>
      </c>
      <c r="G23" s="22">
        <f>G33*0.1</f>
        <v>0</v>
      </c>
      <c r="H23" s="22">
        <f t="shared" ref="H23:AE23" si="8">H33*0.1</f>
        <v>0</v>
      </c>
      <c r="I23" s="22">
        <f t="shared" si="8"/>
        <v>0</v>
      </c>
      <c r="J23" s="22">
        <f t="shared" si="8"/>
        <v>0</v>
      </c>
      <c r="K23" s="22">
        <f t="shared" si="8"/>
        <v>0</v>
      </c>
      <c r="L23" s="22">
        <f t="shared" si="8"/>
        <v>0</v>
      </c>
      <c r="M23" s="22">
        <f t="shared" si="8"/>
        <v>0</v>
      </c>
      <c r="N23" s="22">
        <f t="shared" si="8"/>
        <v>5.6000000000000005</v>
      </c>
      <c r="O23" s="22">
        <f t="shared" si="8"/>
        <v>0</v>
      </c>
      <c r="P23" s="22">
        <f t="shared" si="8"/>
        <v>0</v>
      </c>
      <c r="Q23" s="22">
        <f t="shared" si="8"/>
        <v>0</v>
      </c>
      <c r="R23" s="22">
        <f t="shared" si="8"/>
        <v>0</v>
      </c>
      <c r="S23" s="22">
        <f t="shared" si="8"/>
        <v>0</v>
      </c>
      <c r="T23" s="22">
        <f t="shared" si="8"/>
        <v>0</v>
      </c>
      <c r="U23" s="22">
        <f t="shared" si="8"/>
        <v>0</v>
      </c>
      <c r="V23" s="22">
        <f t="shared" si="8"/>
        <v>0</v>
      </c>
      <c r="W23" s="22">
        <f t="shared" si="8"/>
        <v>0</v>
      </c>
      <c r="X23" s="22">
        <f t="shared" si="8"/>
        <v>0</v>
      </c>
      <c r="Y23" s="22">
        <f t="shared" si="8"/>
        <v>0</v>
      </c>
      <c r="Z23" s="22">
        <f t="shared" si="8"/>
        <v>0</v>
      </c>
      <c r="AA23" s="22">
        <f t="shared" si="8"/>
        <v>0</v>
      </c>
      <c r="AB23" s="22">
        <f t="shared" si="8"/>
        <v>0</v>
      </c>
      <c r="AC23" s="22">
        <f t="shared" si="8"/>
        <v>0</v>
      </c>
      <c r="AD23" s="22">
        <f t="shared" si="8"/>
        <v>0</v>
      </c>
      <c r="AE23" s="22">
        <f t="shared" si="8"/>
        <v>0</v>
      </c>
      <c r="AF23" s="21"/>
      <c r="AG23" s="32"/>
      <c r="AH23" s="32"/>
      <c r="AI23" s="32"/>
      <c r="AJ23" s="22"/>
    </row>
    <row r="24" spans="2:36" x14ac:dyDescent="0.3">
      <c r="B24" s="20" t="s">
        <v>83</v>
      </c>
      <c r="C24" s="20"/>
      <c r="D24" s="31" t="s">
        <v>114</v>
      </c>
      <c r="E24" s="21" t="s">
        <v>10</v>
      </c>
      <c r="F24" s="22">
        <f t="shared" si="2"/>
        <v>1.6</v>
      </c>
      <c r="G24" s="22"/>
      <c r="H24" s="22"/>
      <c r="I24" s="22"/>
      <c r="J24" s="22"/>
      <c r="K24" s="22"/>
      <c r="L24" s="22">
        <f>L34*0.1</f>
        <v>0</v>
      </c>
      <c r="M24" s="22">
        <f t="shared" ref="M24:AE24" si="9">M34*0.1</f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0.4</v>
      </c>
      <c r="R24" s="22">
        <f t="shared" si="9"/>
        <v>0</v>
      </c>
      <c r="S24" s="22">
        <f t="shared" si="9"/>
        <v>0</v>
      </c>
      <c r="T24" s="22">
        <f t="shared" si="9"/>
        <v>0</v>
      </c>
      <c r="U24" s="22">
        <f t="shared" si="9"/>
        <v>1.2000000000000002</v>
      </c>
      <c r="V24" s="22">
        <f t="shared" si="9"/>
        <v>0</v>
      </c>
      <c r="W24" s="22">
        <f t="shared" si="9"/>
        <v>0</v>
      </c>
      <c r="X24" s="22">
        <f t="shared" si="9"/>
        <v>0</v>
      </c>
      <c r="Y24" s="22">
        <f t="shared" si="9"/>
        <v>0</v>
      </c>
      <c r="Z24" s="22">
        <f t="shared" si="9"/>
        <v>0</v>
      </c>
      <c r="AA24" s="22">
        <f t="shared" si="9"/>
        <v>0</v>
      </c>
      <c r="AB24" s="22">
        <f t="shared" si="9"/>
        <v>0</v>
      </c>
      <c r="AC24" s="22">
        <f t="shared" si="9"/>
        <v>0</v>
      </c>
      <c r="AD24" s="22">
        <f t="shared" si="9"/>
        <v>0</v>
      </c>
      <c r="AE24" s="22">
        <f t="shared" si="9"/>
        <v>0</v>
      </c>
      <c r="AF24" s="21"/>
      <c r="AG24" s="32"/>
      <c r="AH24" s="32"/>
      <c r="AI24" s="32"/>
      <c r="AJ24" s="22"/>
    </row>
    <row r="25" spans="2:36" s="24" customFormat="1" ht="20" x14ac:dyDescent="0.35">
      <c r="B25" s="20" t="s">
        <v>84</v>
      </c>
      <c r="C25" s="20"/>
      <c r="D25" s="36" t="s">
        <v>128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2:36" x14ac:dyDescent="0.3">
      <c r="B26" s="20" t="s">
        <v>90</v>
      </c>
      <c r="C26" s="20"/>
      <c r="D26" s="31" t="s">
        <v>115</v>
      </c>
      <c r="E26" s="21" t="s">
        <v>10</v>
      </c>
      <c r="F26" s="22">
        <f t="shared" ref="F26" si="10">SUM(G26:AI26)</f>
        <v>152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>
        <f>AG13</f>
        <v>152</v>
      </c>
      <c r="AH26" s="21"/>
      <c r="AI26" s="21"/>
      <c r="AJ26" s="22"/>
    </row>
    <row r="27" spans="2:36" x14ac:dyDescent="0.3">
      <c r="B27" s="20" t="s">
        <v>91</v>
      </c>
      <c r="C27" s="20"/>
      <c r="D27" s="31" t="s">
        <v>14</v>
      </c>
      <c r="E27" s="21" t="s">
        <v>10</v>
      </c>
      <c r="F27" s="22">
        <f t="shared" ref="F27:F35" si="11">SUM(G27:AI27)</f>
        <v>115</v>
      </c>
      <c r="G27" s="21"/>
      <c r="H27" s="21"/>
      <c r="I27" s="21"/>
      <c r="J27" s="21"/>
      <c r="K27" s="21"/>
      <c r="L27" s="21"/>
      <c r="M27" s="21"/>
      <c r="N27" s="21"/>
      <c r="O27" s="21"/>
      <c r="P27" s="21">
        <f>P60</f>
        <v>115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2"/>
    </row>
    <row r="28" spans="2:36" x14ac:dyDescent="0.3">
      <c r="B28" s="20" t="s">
        <v>92</v>
      </c>
      <c r="C28" s="20"/>
      <c r="D28" s="31" t="s">
        <v>116</v>
      </c>
      <c r="E28" s="21" t="s">
        <v>10</v>
      </c>
      <c r="F28" s="22">
        <f t="shared" ref="F28" si="12">SUM(G28:AI28)</f>
        <v>80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>
        <v>80</v>
      </c>
      <c r="AJ28" s="22"/>
    </row>
    <row r="29" spans="2:36" x14ac:dyDescent="0.3">
      <c r="B29" s="20" t="s">
        <v>93</v>
      </c>
      <c r="C29" s="20"/>
      <c r="D29" s="31" t="s">
        <v>111</v>
      </c>
      <c r="E29" s="21" t="s">
        <v>10</v>
      </c>
      <c r="F29" s="22">
        <f t="shared" si="11"/>
        <v>494</v>
      </c>
      <c r="G29" s="21"/>
      <c r="H29" s="21">
        <f>H61</f>
        <v>80</v>
      </c>
      <c r="I29" s="21">
        <f>I61</f>
        <v>32</v>
      </c>
      <c r="J29" s="21"/>
      <c r="K29" s="21"/>
      <c r="L29" s="21">
        <f>L61</f>
        <v>42</v>
      </c>
      <c r="M29" s="21"/>
      <c r="N29" s="21"/>
      <c r="O29" s="21"/>
      <c r="P29" s="21"/>
      <c r="Q29" s="21">
        <f>Q61</f>
        <v>66</v>
      </c>
      <c r="R29" s="21"/>
      <c r="S29" s="21"/>
      <c r="T29" s="21"/>
      <c r="U29" s="21"/>
      <c r="V29" s="21"/>
      <c r="W29" s="21">
        <f>W61</f>
        <v>6</v>
      </c>
      <c r="X29" s="21">
        <f>X61</f>
        <v>34</v>
      </c>
      <c r="Y29" s="21">
        <f>Y61</f>
        <v>96</v>
      </c>
      <c r="Z29" s="21">
        <f>Z61</f>
        <v>70</v>
      </c>
      <c r="AA29" s="21"/>
      <c r="AB29" s="21"/>
      <c r="AC29" s="21">
        <f>AC61</f>
        <v>2</v>
      </c>
      <c r="AD29" s="21"/>
      <c r="AE29" s="21"/>
      <c r="AF29" s="21"/>
      <c r="AG29" s="21"/>
      <c r="AH29" s="21">
        <f>AH15</f>
        <v>66</v>
      </c>
      <c r="AI29" s="21"/>
      <c r="AJ29" s="22"/>
    </row>
    <row r="30" spans="2:36" x14ac:dyDescent="0.3">
      <c r="B30" s="20" t="s">
        <v>94</v>
      </c>
      <c r="C30" s="20"/>
      <c r="D30" s="31" t="s">
        <v>19</v>
      </c>
      <c r="E30" s="21" t="s">
        <v>10</v>
      </c>
      <c r="F30" s="22">
        <f t="shared" si="11"/>
        <v>1080</v>
      </c>
      <c r="G30" s="21"/>
      <c r="H30" s="21"/>
      <c r="I30" s="21"/>
      <c r="J30" s="21">
        <f>J62</f>
        <v>22</v>
      </c>
      <c r="K30" s="21"/>
      <c r="L30" s="21"/>
      <c r="M30" s="21">
        <f>M62</f>
        <v>160</v>
      </c>
      <c r="N30" s="21"/>
      <c r="O30" s="21">
        <f>O62</f>
        <v>8</v>
      </c>
      <c r="P30" s="21"/>
      <c r="Q30" s="21">
        <f>Q62</f>
        <v>64</v>
      </c>
      <c r="R30" s="21">
        <f>R62</f>
        <v>132</v>
      </c>
      <c r="S30" s="21"/>
      <c r="T30" s="21">
        <f>T62</f>
        <v>28</v>
      </c>
      <c r="U30" s="21"/>
      <c r="V30" s="21">
        <f>V62</f>
        <v>62</v>
      </c>
      <c r="W30" s="21">
        <f>W62</f>
        <v>60</v>
      </c>
      <c r="X30" s="21"/>
      <c r="Y30" s="21"/>
      <c r="Z30" s="21">
        <f>Z62</f>
        <v>68</v>
      </c>
      <c r="AA30" s="21">
        <f>AA62</f>
        <v>90</v>
      </c>
      <c r="AB30" s="21"/>
      <c r="AC30" s="21">
        <f>AC62</f>
        <v>222</v>
      </c>
      <c r="AD30" s="21"/>
      <c r="AE30" s="21">
        <f>AE62</f>
        <v>62</v>
      </c>
      <c r="AF30" s="21">
        <f>AF16</f>
        <v>76</v>
      </c>
      <c r="AG30" s="21"/>
      <c r="AH30" s="21"/>
      <c r="AI30" s="21">
        <v>26</v>
      </c>
      <c r="AJ30" s="22"/>
    </row>
    <row r="31" spans="2:36" x14ac:dyDescent="0.3">
      <c r="B31" s="20" t="s">
        <v>95</v>
      </c>
      <c r="C31" s="20"/>
      <c r="D31" s="31" t="s">
        <v>17</v>
      </c>
      <c r="E31" s="21" t="s">
        <v>10</v>
      </c>
      <c r="F31" s="22">
        <f t="shared" si="11"/>
        <v>1458</v>
      </c>
      <c r="G31" s="21">
        <f>G63</f>
        <v>86</v>
      </c>
      <c r="H31" s="21">
        <f>H63</f>
        <v>68</v>
      </c>
      <c r="I31" s="21">
        <f>I63</f>
        <v>60</v>
      </c>
      <c r="J31" s="21">
        <f>J63</f>
        <v>126</v>
      </c>
      <c r="K31" s="21">
        <f>K63</f>
        <v>136</v>
      </c>
      <c r="L31" s="21">
        <f>L63</f>
        <v>40</v>
      </c>
      <c r="M31" s="21">
        <f>M63</f>
        <v>3</v>
      </c>
      <c r="N31" s="21">
        <f>N63</f>
        <v>2</v>
      </c>
      <c r="O31" s="21">
        <f>O63</f>
        <v>164</v>
      </c>
      <c r="P31" s="21"/>
      <c r="Q31" s="21">
        <f>Q63</f>
        <v>14</v>
      </c>
      <c r="R31" s="21">
        <v>91</v>
      </c>
      <c r="S31" s="21">
        <f>S63</f>
        <v>80</v>
      </c>
      <c r="T31" s="21"/>
      <c r="U31" s="21">
        <f>U63</f>
        <v>64</v>
      </c>
      <c r="V31" s="21">
        <f>V63</f>
        <v>72</v>
      </c>
      <c r="W31" s="21">
        <f>W63</f>
        <v>4</v>
      </c>
      <c r="X31" s="21">
        <f>X63</f>
        <v>24</v>
      </c>
      <c r="Y31" s="21">
        <f>Y63</f>
        <v>6</v>
      </c>
      <c r="Z31" s="21">
        <f>Z63</f>
        <v>34</v>
      </c>
      <c r="AA31" s="21">
        <f>AA63</f>
        <v>60</v>
      </c>
      <c r="AB31" s="21">
        <f>AB63</f>
        <v>86</v>
      </c>
      <c r="AC31" s="21">
        <f>AC63</f>
        <v>32</v>
      </c>
      <c r="AD31" s="21">
        <f>AD63</f>
        <v>110</v>
      </c>
      <c r="AE31" s="21">
        <f>AE63</f>
        <v>96</v>
      </c>
      <c r="AF31" s="21"/>
      <c r="AG31" s="21"/>
      <c r="AH31" s="21"/>
      <c r="AI31" s="21"/>
      <c r="AJ31" s="22"/>
    </row>
    <row r="32" spans="2:36" x14ac:dyDescent="0.3">
      <c r="B32" s="20" t="s">
        <v>96</v>
      </c>
      <c r="C32" s="20"/>
      <c r="D32" s="31" t="s">
        <v>112</v>
      </c>
      <c r="E32" s="21" t="s">
        <v>10</v>
      </c>
      <c r="F32" s="22">
        <f t="shared" si="11"/>
        <v>45</v>
      </c>
      <c r="G32" s="21"/>
      <c r="H32" s="21"/>
      <c r="I32" s="21"/>
      <c r="J32" s="21"/>
      <c r="K32" s="21"/>
      <c r="L32" s="21">
        <v>3</v>
      </c>
      <c r="M32" s="21"/>
      <c r="N32" s="21">
        <v>4</v>
      </c>
      <c r="O32" s="21"/>
      <c r="P32" s="21">
        <f>P64</f>
        <v>6</v>
      </c>
      <c r="Q32" s="21"/>
      <c r="R32" s="21"/>
      <c r="S32" s="21"/>
      <c r="T32" s="21"/>
      <c r="U32" s="21"/>
      <c r="V32" s="21"/>
      <c r="W32" s="21"/>
      <c r="X32" s="21">
        <f>X64</f>
        <v>32</v>
      </c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2"/>
    </row>
    <row r="33" spans="2:36" x14ac:dyDescent="0.3">
      <c r="B33" s="20" t="s">
        <v>97</v>
      </c>
      <c r="C33" s="20"/>
      <c r="D33" s="31" t="s">
        <v>113</v>
      </c>
      <c r="E33" s="21" t="s">
        <v>10</v>
      </c>
      <c r="F33" s="22">
        <f t="shared" si="11"/>
        <v>56</v>
      </c>
      <c r="G33" s="21"/>
      <c r="H33" s="21"/>
      <c r="I33" s="21"/>
      <c r="J33" s="21"/>
      <c r="K33" s="21"/>
      <c r="L33" s="21"/>
      <c r="M33" s="21"/>
      <c r="N33" s="21">
        <f>N65</f>
        <v>56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2"/>
    </row>
    <row r="34" spans="2:36" x14ac:dyDescent="0.3">
      <c r="B34" s="20" t="s">
        <v>98</v>
      </c>
      <c r="C34" s="20"/>
      <c r="D34" s="31" t="s">
        <v>114</v>
      </c>
      <c r="E34" s="21" t="s">
        <v>10</v>
      </c>
      <c r="F34" s="22">
        <f t="shared" si="11"/>
        <v>16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>
        <v>4</v>
      </c>
      <c r="R34" s="21"/>
      <c r="S34" s="21"/>
      <c r="T34" s="21"/>
      <c r="U34" s="21">
        <f>U66</f>
        <v>12</v>
      </c>
      <c r="V34" s="21">
        <f>V66</f>
        <v>0</v>
      </c>
      <c r="W34" s="21"/>
      <c r="X34" s="21"/>
      <c r="Y34" s="21">
        <f>Y66</f>
        <v>0</v>
      </c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2"/>
    </row>
    <row r="35" spans="2:36" x14ac:dyDescent="0.3">
      <c r="B35" s="20" t="s">
        <v>99</v>
      </c>
      <c r="C35" s="20"/>
      <c r="D35" s="36" t="s">
        <v>130</v>
      </c>
      <c r="E35" s="21" t="s">
        <v>3</v>
      </c>
      <c r="F35" s="22">
        <f t="shared" si="11"/>
        <v>44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>
        <v>10</v>
      </c>
      <c r="AG35" s="21">
        <v>12</v>
      </c>
      <c r="AH35" s="21">
        <v>10</v>
      </c>
      <c r="AI35" s="21">
        <v>12</v>
      </c>
      <c r="AJ35" s="22"/>
    </row>
    <row r="36" spans="2:36" ht="20" x14ac:dyDescent="0.3">
      <c r="B36" s="20" t="s">
        <v>100</v>
      </c>
      <c r="C36" s="20"/>
      <c r="D36" s="36" t="s">
        <v>129</v>
      </c>
      <c r="E36" s="21" t="s">
        <v>13</v>
      </c>
      <c r="F36" s="22">
        <f t="shared" ref="F36:F67" si="13">SUM(G36:AI36)</f>
        <v>14.779109999999999</v>
      </c>
      <c r="G36" s="46">
        <f>G63*1.46/1000</f>
        <v>0.12556</v>
      </c>
      <c r="H36" s="46">
        <f>(H29*2.58+H31*1.46)/1000</f>
        <v>0.30568000000000001</v>
      </c>
      <c r="I36" s="46">
        <f>(I29*2.58+I31*1.46)/1000</f>
        <v>0.17016000000000001</v>
      </c>
      <c r="J36" s="46">
        <f>(J30*2.18+J31*1.46)/1000</f>
        <v>0.23192000000000002</v>
      </c>
      <c r="K36" s="46">
        <f>(K31*1.46)/1000</f>
        <v>0.19856000000000001</v>
      </c>
      <c r="L36" s="46">
        <f>(L29*2.58+L31*1.46+L32*1.26)/1000</f>
        <v>0.17054</v>
      </c>
      <c r="M36" s="46">
        <f>(M30*2.18+M31*1.46)/1000</f>
        <v>0.35317999999999999</v>
      </c>
      <c r="N36" s="46">
        <f>(N31*1.46+N32*1.26+N33*1.11)/1000</f>
        <v>7.0120000000000002E-2</v>
      </c>
      <c r="O36" s="46">
        <f>(O30*2.18+O31*1.46)/1000</f>
        <v>0.25688</v>
      </c>
      <c r="P36" s="46">
        <f>(P27*4.13+P32*1.26)/1000</f>
        <v>0.48250999999999999</v>
      </c>
      <c r="Q36" s="46">
        <f>(Q29*2.58+Q30*2.18+Q31*1.46+Q34*1.03)/1000</f>
        <v>0.33435999999999999</v>
      </c>
      <c r="R36" s="46">
        <f>(R30*2.18+R31*1.46)/1000</f>
        <v>0.42061999999999999</v>
      </c>
      <c r="S36" s="46">
        <f>S31*2.18/1000</f>
        <v>0.1744</v>
      </c>
      <c r="T36" s="46">
        <f>T30*2.18/1000</f>
        <v>6.1040000000000004E-2</v>
      </c>
      <c r="U36" s="46">
        <f>(U31*1.46+U34*1.03)/1000</f>
        <v>0.10579999999999999</v>
      </c>
      <c r="V36" s="46">
        <f>(V30*2.18+V31*1.46)/1000</f>
        <v>0.24027999999999999</v>
      </c>
      <c r="W36" s="46">
        <f>(W29*2.58+W30*2.18+W31*1.46)/1000</f>
        <v>0.15212000000000001</v>
      </c>
      <c r="X36" s="46">
        <f>(X29*2.58+X31*1.46+X32*1.26)/1000</f>
        <v>0.16307999999999997</v>
      </c>
      <c r="Y36" s="46">
        <f>(Y29*2.58+Y31*1.46)/1000</f>
        <v>0.25644</v>
      </c>
      <c r="Z36" s="46">
        <f>(Z29*2.58+Z30*2.18+Z31*1.46)/1000</f>
        <v>0.37848000000000004</v>
      </c>
      <c r="AA36" s="46">
        <f>(AA30*2.18+AA31*1.46)/1000</f>
        <v>0.2838</v>
      </c>
      <c r="AB36" s="46">
        <f>AB31*1.46/1000</f>
        <v>0.12556</v>
      </c>
      <c r="AC36" s="46">
        <f>(AC29*2.58+AC30*2.18+AC31*1.46)/1000</f>
        <v>0.53583999999999998</v>
      </c>
      <c r="AD36" s="46">
        <f>AD31*1.46/1000</f>
        <v>0.16059999999999999</v>
      </c>
      <c r="AE36" s="46">
        <f>(AE30*2.18+AE31*1.46)/1000</f>
        <v>0.27532000000000001</v>
      </c>
      <c r="AF36" s="46">
        <f>(AF16*6.76+AF16*2.18)/1000</f>
        <v>0.67944000000000004</v>
      </c>
      <c r="AG36" s="46">
        <v>6.0089199999999998</v>
      </c>
      <c r="AH36" s="46">
        <v>0.74909999999999988</v>
      </c>
      <c r="AI36" s="46">
        <v>1.3088000000000002</v>
      </c>
      <c r="AJ36" s="22"/>
    </row>
    <row r="37" spans="2:36" s="24" customFormat="1" ht="10.5" x14ac:dyDescent="0.35">
      <c r="B37" s="25"/>
      <c r="C37" s="25"/>
      <c r="D37" s="19" t="s">
        <v>132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</row>
    <row r="38" spans="2:36" ht="40" x14ac:dyDescent="0.3">
      <c r="B38" s="20" t="s">
        <v>101</v>
      </c>
      <c r="C38" s="20"/>
      <c r="D38" s="36" t="s">
        <v>166</v>
      </c>
      <c r="E38" s="21" t="s">
        <v>3</v>
      </c>
      <c r="F38" s="22">
        <v>1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2"/>
    </row>
    <row r="39" spans="2:36" x14ac:dyDescent="0.3">
      <c r="B39" s="20" t="s">
        <v>102</v>
      </c>
      <c r="C39" s="20"/>
      <c r="D39" s="48" t="s">
        <v>167</v>
      </c>
      <c r="E39" s="21"/>
      <c r="F39" s="22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2"/>
    </row>
    <row r="40" spans="2:36" x14ac:dyDescent="0.3">
      <c r="B40" s="20" t="s">
        <v>103</v>
      </c>
      <c r="C40" s="22"/>
      <c r="D40" s="33" t="s">
        <v>14</v>
      </c>
      <c r="E40" s="21" t="s">
        <v>168</v>
      </c>
      <c r="F40" s="22">
        <f>SUM(G40:AI40)</f>
        <v>2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>
        <v>2</v>
      </c>
      <c r="AH40" s="21"/>
      <c r="AI40" s="21"/>
      <c r="AJ40" s="22"/>
    </row>
    <row r="41" spans="2:36" x14ac:dyDescent="0.3">
      <c r="B41" s="20" t="s">
        <v>104</v>
      </c>
      <c r="C41" s="22"/>
      <c r="D41" s="33" t="s">
        <v>111</v>
      </c>
      <c r="E41" s="21" t="s">
        <v>168</v>
      </c>
      <c r="F41" s="22">
        <f t="shared" ref="F41:F46" si="14">SUM(G41:AI41)</f>
        <v>4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>
        <v>2</v>
      </c>
      <c r="R41" s="21"/>
      <c r="S41" s="21"/>
      <c r="T41" s="21"/>
      <c r="U41" s="21"/>
      <c r="V41" s="21"/>
      <c r="W41" s="21"/>
      <c r="X41" s="21"/>
      <c r="Y41" s="21"/>
      <c r="Z41" s="21">
        <v>2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2"/>
    </row>
    <row r="42" spans="2:36" x14ac:dyDescent="0.3">
      <c r="B42" s="20" t="s">
        <v>105</v>
      </c>
      <c r="C42" s="22"/>
      <c r="D42" s="33" t="s">
        <v>19</v>
      </c>
      <c r="E42" s="21" t="s">
        <v>168</v>
      </c>
      <c r="F42" s="22">
        <f t="shared" si="14"/>
        <v>12</v>
      </c>
      <c r="G42" s="21"/>
      <c r="H42" s="21"/>
      <c r="I42" s="21"/>
      <c r="J42" s="21">
        <v>2</v>
      </c>
      <c r="K42" s="21"/>
      <c r="L42" s="21">
        <v>2</v>
      </c>
      <c r="M42" s="21">
        <v>4</v>
      </c>
      <c r="N42" s="21"/>
      <c r="O42" s="21"/>
      <c r="P42" s="21"/>
      <c r="Q42" s="21"/>
      <c r="R42" s="21"/>
      <c r="S42" s="21"/>
      <c r="T42" s="21"/>
      <c r="U42" s="21"/>
      <c r="V42" s="21"/>
      <c r="W42" s="21">
        <v>2</v>
      </c>
      <c r="X42" s="21"/>
      <c r="Y42" s="21"/>
      <c r="Z42" s="21"/>
      <c r="AA42" s="21"/>
      <c r="AB42" s="21"/>
      <c r="AC42" s="21"/>
      <c r="AD42" s="21"/>
      <c r="AE42" s="21"/>
      <c r="AF42" s="21"/>
      <c r="AG42" s="21">
        <v>2</v>
      </c>
      <c r="AH42" s="21"/>
      <c r="AI42" s="21"/>
      <c r="AJ42" s="22"/>
    </row>
    <row r="43" spans="2:36" x14ac:dyDescent="0.3">
      <c r="B43" s="20" t="s">
        <v>106</v>
      </c>
      <c r="C43" s="22"/>
      <c r="D43" s="33" t="s">
        <v>17</v>
      </c>
      <c r="E43" s="21" t="s">
        <v>168</v>
      </c>
      <c r="F43" s="22">
        <f t="shared" si="14"/>
        <v>12</v>
      </c>
      <c r="G43" s="21"/>
      <c r="H43" s="21">
        <v>2</v>
      </c>
      <c r="I43" s="21"/>
      <c r="J43" s="21"/>
      <c r="K43" s="21"/>
      <c r="L43" s="21">
        <v>2</v>
      </c>
      <c r="M43" s="21"/>
      <c r="N43" s="21">
        <v>2</v>
      </c>
      <c r="O43" s="21">
        <v>2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>
        <v>2</v>
      </c>
      <c r="AG43" s="21">
        <v>2</v>
      </c>
      <c r="AH43" s="21"/>
      <c r="AI43" s="21"/>
      <c r="AJ43" s="22"/>
    </row>
    <row r="44" spans="2:36" x14ac:dyDescent="0.3">
      <c r="B44" s="20" t="s">
        <v>107</v>
      </c>
      <c r="C44" s="22"/>
      <c r="D44" s="33" t="s">
        <v>112</v>
      </c>
      <c r="E44" s="21" t="s">
        <v>168</v>
      </c>
      <c r="F44" s="22">
        <f t="shared" si="14"/>
        <v>2</v>
      </c>
      <c r="G44" s="21">
        <v>2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2"/>
    </row>
    <row r="45" spans="2:36" x14ac:dyDescent="0.3">
      <c r="B45" s="20" t="s">
        <v>108</v>
      </c>
      <c r="C45" s="22"/>
      <c r="D45" s="33" t="s">
        <v>113</v>
      </c>
      <c r="E45" s="21" t="s">
        <v>168</v>
      </c>
      <c r="F45" s="22">
        <f t="shared" si="14"/>
        <v>2</v>
      </c>
      <c r="G45" s="21">
        <v>2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2"/>
    </row>
    <row r="46" spans="2:36" x14ac:dyDescent="0.3">
      <c r="B46" s="20" t="s">
        <v>109</v>
      </c>
      <c r="C46" s="22"/>
      <c r="D46" s="33" t="s">
        <v>114</v>
      </c>
      <c r="E46" s="21" t="s">
        <v>168</v>
      </c>
      <c r="F46" s="22">
        <f t="shared" si="14"/>
        <v>8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v>2</v>
      </c>
      <c r="R46" s="21"/>
      <c r="S46" s="21"/>
      <c r="T46" s="21"/>
      <c r="U46" s="21">
        <v>2</v>
      </c>
      <c r="V46" s="21">
        <v>2</v>
      </c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>
        <v>2</v>
      </c>
      <c r="AH46" s="21"/>
      <c r="AI46" s="21"/>
      <c r="AJ46" s="22"/>
    </row>
    <row r="47" spans="2:36" ht="20" x14ac:dyDescent="0.3">
      <c r="B47" s="20" t="s">
        <v>110</v>
      </c>
      <c r="C47" s="20"/>
      <c r="D47" s="36" t="s">
        <v>16</v>
      </c>
      <c r="E47" s="21"/>
      <c r="F47" s="22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2"/>
    </row>
    <row r="48" spans="2:36" x14ac:dyDescent="0.3">
      <c r="B48" s="20" t="s">
        <v>148</v>
      </c>
      <c r="C48" s="20"/>
      <c r="D48" s="33" t="s">
        <v>159</v>
      </c>
      <c r="E48" s="21" t="s">
        <v>10</v>
      </c>
      <c r="F48" s="22">
        <f>SUM(G48:AI48)+12</f>
        <v>166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>
        <v>154</v>
      </c>
      <c r="AH48" s="21"/>
      <c r="AI48" s="21"/>
      <c r="AJ48" s="22"/>
    </row>
    <row r="49" spans="2:42" x14ac:dyDescent="0.3">
      <c r="B49" s="20" t="s">
        <v>149</v>
      </c>
      <c r="C49" s="20"/>
      <c r="D49" s="33" t="s">
        <v>160</v>
      </c>
      <c r="E49" s="21" t="s">
        <v>10</v>
      </c>
      <c r="F49" s="22">
        <v>43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2"/>
    </row>
    <row r="50" spans="2:42" x14ac:dyDescent="0.3">
      <c r="B50" s="20" t="s">
        <v>150</v>
      </c>
      <c r="C50" s="20"/>
      <c r="D50" s="33" t="s">
        <v>161</v>
      </c>
      <c r="E50" s="21" t="s">
        <v>10</v>
      </c>
      <c r="F50" s="22">
        <f>SUM(G50:AI50)+98</f>
        <v>126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>
        <v>28</v>
      </c>
      <c r="AJ50" s="22"/>
    </row>
    <row r="51" spans="2:42" x14ac:dyDescent="0.3">
      <c r="B51" s="20" t="s">
        <v>151</v>
      </c>
      <c r="C51" s="20"/>
      <c r="D51" s="33" t="s">
        <v>162</v>
      </c>
      <c r="E51" s="21" t="s">
        <v>10</v>
      </c>
      <c r="F51" s="22">
        <f>SUM(G51:AI51)+146</f>
        <v>288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>
        <v>76</v>
      </c>
      <c r="AG51" s="21"/>
      <c r="AH51" s="21">
        <v>66</v>
      </c>
      <c r="AI51" s="21"/>
      <c r="AJ51" s="22"/>
    </row>
    <row r="52" spans="2:42" x14ac:dyDescent="0.3">
      <c r="B52" s="20" t="s">
        <v>152</v>
      </c>
      <c r="C52" s="20"/>
      <c r="D52" s="33" t="s">
        <v>163</v>
      </c>
      <c r="E52" s="21" t="s">
        <v>10</v>
      </c>
      <c r="F52" s="22">
        <v>5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2"/>
    </row>
    <row r="53" spans="2:42" x14ac:dyDescent="0.3">
      <c r="B53" s="20" t="s">
        <v>153</v>
      </c>
      <c r="C53" s="20"/>
      <c r="D53" s="33" t="s">
        <v>165</v>
      </c>
      <c r="E53" s="21" t="s">
        <v>10</v>
      </c>
      <c r="F53" s="22">
        <v>6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2"/>
    </row>
    <row r="54" spans="2:42" x14ac:dyDescent="0.3">
      <c r="B54" s="20" t="s">
        <v>154</v>
      </c>
      <c r="C54" s="20"/>
      <c r="D54" s="33" t="s">
        <v>164</v>
      </c>
      <c r="E54" s="21" t="s">
        <v>10</v>
      </c>
      <c r="F54" s="22">
        <v>2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2"/>
    </row>
    <row r="55" spans="2:42" x14ac:dyDescent="0.3">
      <c r="B55" s="20" t="s">
        <v>155</v>
      </c>
      <c r="C55" s="20"/>
      <c r="D55" s="36" t="s">
        <v>141</v>
      </c>
      <c r="E55" s="38" t="s">
        <v>140</v>
      </c>
      <c r="F55" s="22">
        <f>AQ67</f>
        <v>981.50120000000004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2:42" x14ac:dyDescent="0.3">
      <c r="B56" s="20" t="s">
        <v>171</v>
      </c>
      <c r="C56" s="20"/>
      <c r="D56" s="37" t="s">
        <v>143</v>
      </c>
      <c r="E56" s="38" t="s">
        <v>142</v>
      </c>
      <c r="F56" s="22">
        <f>(F55*12)/121</f>
        <v>97.33896198347108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2"/>
    </row>
    <row r="57" spans="2:42" x14ac:dyDescent="0.3">
      <c r="B57" s="20" t="s">
        <v>172</v>
      </c>
      <c r="C57" s="20"/>
      <c r="D57" s="37" t="s">
        <v>144</v>
      </c>
      <c r="E57" s="38" t="s">
        <v>142</v>
      </c>
      <c r="F57" s="22">
        <f>(F55*18)/121</f>
        <v>146.00844297520661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2"/>
    </row>
    <row r="58" spans="2:42" ht="30" x14ac:dyDescent="0.3">
      <c r="B58" s="20" t="s">
        <v>173</v>
      </c>
      <c r="C58" s="20"/>
      <c r="D58" s="42" t="s">
        <v>170</v>
      </c>
      <c r="E58" s="21"/>
      <c r="F58" s="22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2"/>
      <c r="AO58" s="41" t="s">
        <v>145</v>
      </c>
      <c r="AP58" s="41" t="s">
        <v>146</v>
      </c>
    </row>
    <row r="59" spans="2:42" x14ac:dyDescent="0.3">
      <c r="B59" s="20" t="s">
        <v>174</v>
      </c>
      <c r="C59" s="20"/>
      <c r="D59" s="31" t="s">
        <v>117</v>
      </c>
      <c r="E59" s="21" t="s">
        <v>10</v>
      </c>
      <c r="F59" s="22">
        <f t="shared" si="13"/>
        <v>2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>
        <v>2</v>
      </c>
      <c r="AH59" s="21"/>
      <c r="AI59" s="21"/>
      <c r="AJ59" s="22"/>
      <c r="AN59" s="39">
        <v>0.219</v>
      </c>
      <c r="AO59" s="22">
        <f>F59</f>
        <v>2</v>
      </c>
      <c r="AP59" s="40">
        <f t="shared" ref="AP59:AP67" si="15">AN59*3.14*AO59</f>
        <v>1.3753200000000001</v>
      </c>
    </row>
    <row r="60" spans="2:42" x14ac:dyDescent="0.3">
      <c r="B60" s="20" t="s">
        <v>175</v>
      </c>
      <c r="C60" s="29"/>
      <c r="D60" s="31" t="s">
        <v>118</v>
      </c>
      <c r="E60" s="21" t="s">
        <v>10</v>
      </c>
      <c r="F60" s="22">
        <f t="shared" si="13"/>
        <v>269</v>
      </c>
      <c r="G60" s="21"/>
      <c r="H60" s="21"/>
      <c r="I60" s="21"/>
      <c r="J60" s="21"/>
      <c r="K60" s="21"/>
      <c r="L60" s="21"/>
      <c r="M60" s="21"/>
      <c r="N60" s="21"/>
      <c r="O60" s="21"/>
      <c r="P60" s="21">
        <f>41+37*2</f>
        <v>115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>
        <f>77*2</f>
        <v>154</v>
      </c>
      <c r="AH60" s="21"/>
      <c r="AI60" s="21"/>
      <c r="AJ60" s="22"/>
      <c r="AN60" s="39">
        <v>0.16800000000000001</v>
      </c>
      <c r="AO60" s="22">
        <f t="shared" ref="AO60:AO67" si="16">F60</f>
        <v>269</v>
      </c>
      <c r="AP60" s="40">
        <f t="shared" si="15"/>
        <v>141.90288000000004</v>
      </c>
    </row>
    <row r="61" spans="2:42" x14ac:dyDescent="0.3">
      <c r="B61" s="20" t="s">
        <v>176</v>
      </c>
      <c r="C61" s="20"/>
      <c r="D61" s="31" t="s">
        <v>119</v>
      </c>
      <c r="E61" s="21" t="s">
        <v>10</v>
      </c>
      <c r="F61" s="22">
        <f t="shared" si="13"/>
        <v>432</v>
      </c>
      <c r="G61" s="21"/>
      <c r="H61" s="21">
        <f>40*2</f>
        <v>80</v>
      </c>
      <c r="I61" s="21">
        <f>2*16</f>
        <v>32</v>
      </c>
      <c r="J61" s="21"/>
      <c r="K61" s="21"/>
      <c r="L61" s="21">
        <f>21*2</f>
        <v>42</v>
      </c>
      <c r="M61" s="21"/>
      <c r="N61" s="21"/>
      <c r="O61" s="21"/>
      <c r="P61" s="21"/>
      <c r="Q61" s="21">
        <f>33*2</f>
        <v>66</v>
      </c>
      <c r="R61" s="21"/>
      <c r="S61" s="21"/>
      <c r="T61" s="21"/>
      <c r="U61" s="21"/>
      <c r="V61" s="21"/>
      <c r="W61" s="21">
        <f>3*2</f>
        <v>6</v>
      </c>
      <c r="X61" s="21">
        <f>17*2</f>
        <v>34</v>
      </c>
      <c r="Y61" s="21">
        <f>48*2</f>
        <v>96</v>
      </c>
      <c r="Z61" s="21">
        <f>35*2</f>
        <v>70</v>
      </c>
      <c r="AA61" s="21"/>
      <c r="AB61" s="21"/>
      <c r="AC61" s="21">
        <f>1*2</f>
        <v>2</v>
      </c>
      <c r="AD61" s="21"/>
      <c r="AE61" s="21"/>
      <c r="AF61" s="21"/>
      <c r="AG61" s="21">
        <f>2*2</f>
        <v>4</v>
      </c>
      <c r="AH61" s="21"/>
      <c r="AI61" s="21"/>
      <c r="AJ61" s="22"/>
      <c r="AN61" s="39">
        <v>0.114</v>
      </c>
      <c r="AO61" s="22">
        <f t="shared" si="16"/>
        <v>432</v>
      </c>
      <c r="AP61" s="40">
        <f t="shared" si="15"/>
        <v>154.63872000000001</v>
      </c>
    </row>
    <row r="62" spans="2:42" x14ac:dyDescent="0.3">
      <c r="B62" s="20" t="s">
        <v>177</v>
      </c>
      <c r="C62" s="20"/>
      <c r="D62" s="31" t="s">
        <v>120</v>
      </c>
      <c r="E62" s="21" t="s">
        <v>10</v>
      </c>
      <c r="F62" s="22">
        <f t="shared" si="13"/>
        <v>1010</v>
      </c>
      <c r="G62" s="21"/>
      <c r="H62" s="21"/>
      <c r="I62" s="30"/>
      <c r="J62" s="21">
        <f>11*2</f>
        <v>22</v>
      </c>
      <c r="K62" s="21"/>
      <c r="L62" s="21"/>
      <c r="M62" s="21">
        <f>80*2</f>
        <v>160</v>
      </c>
      <c r="N62" s="21"/>
      <c r="O62" s="21">
        <f>4*2</f>
        <v>8</v>
      </c>
      <c r="P62" s="21"/>
      <c r="Q62" s="21">
        <f>32*2</f>
        <v>64</v>
      </c>
      <c r="R62" s="21">
        <f>66*2</f>
        <v>132</v>
      </c>
      <c r="S62" s="21"/>
      <c r="T62" s="21">
        <f>14*2</f>
        <v>28</v>
      </c>
      <c r="U62" s="21"/>
      <c r="V62" s="21">
        <f>31*2</f>
        <v>62</v>
      </c>
      <c r="W62" s="21">
        <f>30*2</f>
        <v>60</v>
      </c>
      <c r="X62" s="21"/>
      <c r="Y62" s="21"/>
      <c r="Z62" s="21">
        <f>34*2</f>
        <v>68</v>
      </c>
      <c r="AA62" s="21">
        <f>45*2</f>
        <v>90</v>
      </c>
      <c r="AB62" s="21"/>
      <c r="AC62" s="21">
        <f>111*2</f>
        <v>222</v>
      </c>
      <c r="AD62" s="21"/>
      <c r="AE62" s="21">
        <f>31*2</f>
        <v>62</v>
      </c>
      <c r="AF62" s="21"/>
      <c r="AG62" s="21">
        <v>4</v>
      </c>
      <c r="AH62" s="21"/>
      <c r="AI62" s="21">
        <v>28</v>
      </c>
      <c r="AJ62" s="22"/>
      <c r="AN62" s="39">
        <v>8.8999999999999996E-2</v>
      </c>
      <c r="AO62" s="22">
        <f t="shared" si="16"/>
        <v>1010</v>
      </c>
      <c r="AP62" s="40">
        <f t="shared" si="15"/>
        <v>282.25459999999998</v>
      </c>
    </row>
    <row r="63" spans="2:42" x14ac:dyDescent="0.3">
      <c r="B63" s="20" t="s">
        <v>178</v>
      </c>
      <c r="C63" s="20"/>
      <c r="D63" s="31" t="s">
        <v>121</v>
      </c>
      <c r="E63" s="21" t="s">
        <v>10</v>
      </c>
      <c r="F63" s="22">
        <f t="shared" si="13"/>
        <v>1601</v>
      </c>
      <c r="G63" s="21">
        <f>43*2</f>
        <v>86</v>
      </c>
      <c r="H63" s="21">
        <f>34*2</f>
        <v>68</v>
      </c>
      <c r="I63" s="21">
        <f>2*30</f>
        <v>60</v>
      </c>
      <c r="J63" s="21">
        <f>63*2</f>
        <v>126</v>
      </c>
      <c r="K63" s="21">
        <f>68*2</f>
        <v>136</v>
      </c>
      <c r="L63" s="21">
        <f>20*2</f>
        <v>40</v>
      </c>
      <c r="M63" s="21">
        <f>1.5*2</f>
        <v>3</v>
      </c>
      <c r="N63" s="21">
        <f>1*2</f>
        <v>2</v>
      </c>
      <c r="O63" s="21">
        <f>82*2</f>
        <v>164</v>
      </c>
      <c r="P63" s="21"/>
      <c r="Q63" s="21">
        <f>7*2</f>
        <v>14</v>
      </c>
      <c r="R63" s="21">
        <f>46*2</f>
        <v>92</v>
      </c>
      <c r="S63" s="21">
        <f>40*2</f>
        <v>80</v>
      </c>
      <c r="T63" s="21"/>
      <c r="U63" s="21">
        <f>32*2</f>
        <v>64</v>
      </c>
      <c r="V63" s="21">
        <f>36*2</f>
        <v>72</v>
      </c>
      <c r="W63" s="21">
        <f>2*2</f>
        <v>4</v>
      </c>
      <c r="X63" s="21">
        <f>12*2</f>
        <v>24</v>
      </c>
      <c r="Y63" s="21">
        <f>3*2</f>
        <v>6</v>
      </c>
      <c r="Z63" s="21">
        <f>17*2</f>
        <v>34</v>
      </c>
      <c r="AA63" s="21">
        <f>30*2</f>
        <v>60</v>
      </c>
      <c r="AB63" s="21">
        <f>43*2</f>
        <v>86</v>
      </c>
      <c r="AC63" s="21">
        <f>16*2</f>
        <v>32</v>
      </c>
      <c r="AD63" s="21">
        <f>55*2</f>
        <v>110</v>
      </c>
      <c r="AE63" s="21">
        <f>48*2</f>
        <v>96</v>
      </c>
      <c r="AF63" s="21">
        <f>38*2</f>
        <v>76</v>
      </c>
      <c r="AG63" s="21"/>
      <c r="AH63" s="21">
        <v>66</v>
      </c>
      <c r="AI63" s="21"/>
      <c r="AJ63" s="22"/>
      <c r="AN63" s="39">
        <v>7.5999999999999998E-2</v>
      </c>
      <c r="AO63" s="22">
        <f t="shared" si="16"/>
        <v>1601</v>
      </c>
      <c r="AP63" s="40">
        <f t="shared" si="15"/>
        <v>382.06263999999999</v>
      </c>
    </row>
    <row r="64" spans="2:42" x14ac:dyDescent="0.3">
      <c r="B64" s="20" t="s">
        <v>179</v>
      </c>
      <c r="C64" s="20"/>
      <c r="D64" s="31" t="s">
        <v>122</v>
      </c>
      <c r="E64" s="21" t="s">
        <v>10</v>
      </c>
      <c r="F64" s="22">
        <f t="shared" si="13"/>
        <v>45</v>
      </c>
      <c r="G64" s="21"/>
      <c r="H64" s="21"/>
      <c r="I64" s="21"/>
      <c r="J64" s="21"/>
      <c r="K64" s="21"/>
      <c r="L64" s="21">
        <f>1.5*2</f>
        <v>3</v>
      </c>
      <c r="M64" s="21"/>
      <c r="N64" s="21">
        <f>2*2</f>
        <v>4</v>
      </c>
      <c r="O64" s="21"/>
      <c r="P64" s="21">
        <f>3*2</f>
        <v>6</v>
      </c>
      <c r="Q64" s="21"/>
      <c r="R64" s="21"/>
      <c r="S64" s="21"/>
      <c r="T64" s="21"/>
      <c r="U64" s="21"/>
      <c r="V64" s="21"/>
      <c r="W64" s="21"/>
      <c r="X64" s="21">
        <f>16*2</f>
        <v>32</v>
      </c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2"/>
      <c r="AN64" s="39">
        <v>0.06</v>
      </c>
      <c r="AO64" s="22">
        <f t="shared" si="16"/>
        <v>45</v>
      </c>
      <c r="AP64" s="40">
        <f t="shared" si="15"/>
        <v>8.4779999999999998</v>
      </c>
    </row>
    <row r="65" spans="2:43" x14ac:dyDescent="0.3">
      <c r="B65" s="20" t="s">
        <v>180</v>
      </c>
      <c r="C65" s="20"/>
      <c r="D65" s="31" t="s">
        <v>123</v>
      </c>
      <c r="E65" s="21" t="s">
        <v>10</v>
      </c>
      <c r="F65" s="22">
        <f t="shared" si="13"/>
        <v>56</v>
      </c>
      <c r="G65" s="21"/>
      <c r="H65" s="21"/>
      <c r="I65" s="21"/>
      <c r="J65" s="21"/>
      <c r="K65" s="21"/>
      <c r="L65" s="21"/>
      <c r="M65" s="21"/>
      <c r="N65" s="21">
        <f>28*2</f>
        <v>56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2"/>
      <c r="AN65" s="39">
        <v>4.8000000000000001E-2</v>
      </c>
      <c r="AO65" s="22">
        <f t="shared" si="16"/>
        <v>56</v>
      </c>
      <c r="AP65" s="40">
        <f t="shared" si="15"/>
        <v>8.4403200000000016</v>
      </c>
    </row>
    <row r="66" spans="2:43" x14ac:dyDescent="0.3">
      <c r="B66" s="20" t="s">
        <v>181</v>
      </c>
      <c r="C66" s="20"/>
      <c r="D66" s="31" t="s">
        <v>124</v>
      </c>
      <c r="E66" s="21" t="s">
        <v>10</v>
      </c>
      <c r="F66" s="22">
        <f t="shared" si="13"/>
        <v>16</v>
      </c>
      <c r="G66" s="21"/>
      <c r="H66" s="21"/>
      <c r="J66" s="21"/>
      <c r="K66" s="21"/>
      <c r="L66" s="21"/>
      <c r="M66" s="21"/>
      <c r="N66" s="21"/>
      <c r="O66" s="21"/>
      <c r="P66" s="21"/>
      <c r="Q66" s="21">
        <f>2*2</f>
        <v>4</v>
      </c>
      <c r="R66" s="21"/>
      <c r="S66" s="21"/>
      <c r="T66" s="21"/>
      <c r="U66" s="21">
        <f>6*2</f>
        <v>12</v>
      </c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2"/>
      <c r="AN66" s="39">
        <v>4.2000000000000003E-2</v>
      </c>
      <c r="AO66" s="22">
        <f t="shared" si="16"/>
        <v>16</v>
      </c>
      <c r="AP66" s="40">
        <f t="shared" si="15"/>
        <v>2.1100800000000004</v>
      </c>
    </row>
    <row r="67" spans="2:43" x14ac:dyDescent="0.3">
      <c r="B67" s="20" t="s">
        <v>182</v>
      </c>
      <c r="C67" s="20"/>
      <c r="D67" s="31" t="s">
        <v>125</v>
      </c>
      <c r="E67" s="21" t="s">
        <v>10</v>
      </c>
      <c r="F67" s="22">
        <f t="shared" si="13"/>
        <v>2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>
        <v>2</v>
      </c>
      <c r="AH67" s="21"/>
      <c r="AI67" s="21"/>
      <c r="AJ67" s="22"/>
      <c r="AN67" s="39">
        <v>3.7999999999999999E-2</v>
      </c>
      <c r="AO67" s="22">
        <f t="shared" si="16"/>
        <v>2</v>
      </c>
      <c r="AP67" s="40">
        <f t="shared" si="15"/>
        <v>0.23863999999999999</v>
      </c>
      <c r="AQ67" s="40">
        <f>SUM(AP59:AP67)</f>
        <v>981.50120000000004</v>
      </c>
    </row>
    <row r="68" spans="2:43" ht="20" x14ac:dyDescent="0.3">
      <c r="B68" s="20" t="s">
        <v>183</v>
      </c>
      <c r="C68" s="20"/>
      <c r="D68" s="42" t="s">
        <v>192</v>
      </c>
      <c r="E68" s="47" t="s">
        <v>140</v>
      </c>
      <c r="F68" s="22">
        <f>F55</f>
        <v>981.50120000000004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2"/>
      <c r="AN68" s="49"/>
      <c r="AO68" s="50"/>
      <c r="AP68" s="51"/>
      <c r="AQ68" s="51"/>
    </row>
    <row r="69" spans="2:43" ht="20" x14ac:dyDescent="0.3">
      <c r="B69" s="20" t="s">
        <v>184</v>
      </c>
      <c r="C69" s="20"/>
      <c r="D69" s="36" t="s">
        <v>147</v>
      </c>
      <c r="E69" s="21" t="s">
        <v>10</v>
      </c>
      <c r="F69" s="22">
        <f>SUM(F48:F54)</f>
        <v>636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2"/>
    </row>
    <row r="70" spans="2:43" s="24" customFormat="1" ht="10.5" x14ac:dyDescent="0.35">
      <c r="B70" s="25"/>
      <c r="C70" s="25"/>
      <c r="D70" s="19" t="s">
        <v>133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</row>
    <row r="71" spans="2:43" x14ac:dyDescent="0.3">
      <c r="B71" s="20" t="s">
        <v>185</v>
      </c>
      <c r="C71" s="20"/>
      <c r="D71" s="36" t="s">
        <v>134</v>
      </c>
      <c r="E71" s="21"/>
      <c r="F71" s="22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2"/>
    </row>
    <row r="72" spans="2:43" x14ac:dyDescent="0.3">
      <c r="B72" s="20" t="s">
        <v>186</v>
      </c>
      <c r="C72" s="20"/>
      <c r="D72" s="31" t="s">
        <v>14</v>
      </c>
      <c r="E72" s="21" t="s">
        <v>3</v>
      </c>
      <c r="F72" s="22">
        <f>SUM(G72:AI72)</f>
        <v>12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>
        <v>12</v>
      </c>
      <c r="AH72" s="21"/>
      <c r="AI72" s="21"/>
      <c r="AJ72" s="22"/>
    </row>
    <row r="73" spans="2:43" x14ac:dyDescent="0.3">
      <c r="B73" s="20" t="s">
        <v>187</v>
      </c>
      <c r="C73" s="20"/>
      <c r="D73" s="31" t="s">
        <v>19</v>
      </c>
      <c r="E73" s="21" t="s">
        <v>3</v>
      </c>
      <c r="F73" s="22">
        <f>SUM(G73:AI73)</f>
        <v>2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>
        <v>2</v>
      </c>
      <c r="AJ73" s="22"/>
    </row>
    <row r="74" spans="2:43" x14ac:dyDescent="0.3">
      <c r="B74" s="20" t="s">
        <v>188</v>
      </c>
      <c r="C74" s="20"/>
      <c r="D74" s="31" t="s">
        <v>17</v>
      </c>
      <c r="E74" s="21" t="s">
        <v>3</v>
      </c>
      <c r="F74" s="22">
        <f>SUM(G74:AI74)</f>
        <v>20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>
        <v>10</v>
      </c>
      <c r="AG74" s="21"/>
      <c r="AH74" s="21">
        <v>10</v>
      </c>
      <c r="AI74" s="21"/>
      <c r="AJ74" s="22"/>
    </row>
    <row r="75" spans="2:43" ht="20" x14ac:dyDescent="0.3">
      <c r="B75" s="20" t="s">
        <v>189</v>
      </c>
      <c r="C75" s="20"/>
      <c r="D75" s="36" t="s">
        <v>135</v>
      </c>
      <c r="E75" s="21" t="s">
        <v>3</v>
      </c>
      <c r="F75" s="22">
        <f>SUM(F72:F74)</f>
        <v>34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2"/>
    </row>
    <row r="76" spans="2:43" x14ac:dyDescent="0.3">
      <c r="B76" s="20" t="s">
        <v>190</v>
      </c>
      <c r="C76" s="20"/>
      <c r="D76" s="37" t="s">
        <v>136</v>
      </c>
      <c r="E76" s="38" t="s">
        <v>139</v>
      </c>
      <c r="F76" s="22">
        <f>F75*0.05*2</f>
        <v>3.4000000000000004</v>
      </c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2"/>
    </row>
    <row r="77" spans="2:43" x14ac:dyDescent="0.3">
      <c r="B77" s="20" t="s">
        <v>191</v>
      </c>
      <c r="C77" s="20"/>
      <c r="D77" s="37" t="s">
        <v>137</v>
      </c>
      <c r="E77" s="38" t="s">
        <v>140</v>
      </c>
      <c r="F77" s="22">
        <f>F75*0.05*2</f>
        <v>3.4000000000000004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2"/>
    </row>
    <row r="78" spans="2:43" ht="20" x14ac:dyDescent="0.3">
      <c r="B78" s="20" t="s">
        <v>193</v>
      </c>
      <c r="C78" s="20"/>
      <c r="D78" s="37" t="s">
        <v>138</v>
      </c>
      <c r="E78" s="47" t="s">
        <v>10</v>
      </c>
      <c r="F78" s="22">
        <f>F75*2</f>
        <v>68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2"/>
    </row>
    <row r="79" spans="2:43" x14ac:dyDescent="0.3">
      <c r="B79" s="3"/>
      <c r="C79" s="3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2:43" x14ac:dyDescent="0.3">
      <c r="B80" s="3"/>
      <c r="C80" s="3"/>
      <c r="D80" s="35" t="s">
        <v>127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2:36" x14ac:dyDescent="0.3">
      <c r="B81" s="3"/>
      <c r="C81" s="3"/>
      <c r="D81" s="35" t="s">
        <v>126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2:36" x14ac:dyDescent="0.3">
      <c r="B82" s="3"/>
      <c r="C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2:36" x14ac:dyDescent="0.3">
      <c r="B83" s="3"/>
      <c r="C83" s="3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2:36" x14ac:dyDescent="0.3">
      <c r="B84" s="3"/>
      <c r="C84" s="3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2:36" x14ac:dyDescent="0.3">
      <c r="B85" s="3"/>
      <c r="C85" s="3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2:36" x14ac:dyDescent="0.3">
      <c r="B86" s="3"/>
      <c r="C86" s="3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2:36" x14ac:dyDescent="0.3">
      <c r="B87" s="3"/>
      <c r="C87" s="3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2:36" x14ac:dyDescent="0.3">
      <c r="B88" s="3"/>
      <c r="C88" s="3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94" spans="2:36" x14ac:dyDescent="0.3">
      <c r="N94" s="5"/>
    </row>
    <row r="95" spans="2:36" x14ac:dyDescent="0.3">
      <c r="N95" s="5"/>
    </row>
    <row r="96" spans="2:36" x14ac:dyDescent="0.3">
      <c r="N96" s="5"/>
    </row>
    <row r="97" spans="14:14" x14ac:dyDescent="0.3">
      <c r="N97" s="5"/>
    </row>
    <row r="98" spans="14:14" x14ac:dyDescent="0.3">
      <c r="N98" s="5"/>
    </row>
    <row r="99" spans="14:14" x14ac:dyDescent="0.3">
      <c r="N99" s="5"/>
    </row>
    <row r="100" spans="14:14" x14ac:dyDescent="0.3">
      <c r="N100" s="5"/>
    </row>
    <row r="101" spans="14:14" x14ac:dyDescent="0.3">
      <c r="N101" s="5"/>
    </row>
    <row r="102" spans="14:14" x14ac:dyDescent="0.3">
      <c r="N102" s="5"/>
    </row>
    <row r="103" spans="14:14" x14ac:dyDescent="0.3">
      <c r="N103" s="5"/>
    </row>
    <row r="104" spans="14:14" x14ac:dyDescent="0.3">
      <c r="N104" s="5"/>
    </row>
  </sheetData>
  <mergeCells count="6">
    <mergeCell ref="AJ8:AJ9"/>
    <mergeCell ref="B8:B9"/>
    <mergeCell ref="C8:C9"/>
    <mergeCell ref="D8:D9"/>
    <mergeCell ref="E8:E9"/>
    <mergeCell ref="F8:F9"/>
  </mergeCells>
  <phoneticPr fontId="8" type="noConversion"/>
  <conditionalFormatting sqref="E56:E57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1.310511811023622" right="0.11811023622047245" top="0.74803149606299213" bottom="0.55118110236220474" header="0.31496062992125984" footer="0.31496062992125984"/>
  <pageSetup scale="92" orientation="portrait" r:id="rId1"/>
  <headerFooter>
    <oddFooter>&amp;R&amp;"Arial,Parasts"&amp;8&amp;P/&amp;N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Izolacijas darbi</vt:lpstr>
      <vt:lpstr>'Izolacijas darbi'!Drukas_apgabals</vt:lpstr>
      <vt:lpstr>'Izolacijas darbi'!Drukāt_virsrakstus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</dc:creator>
  <cp:lastModifiedBy>Jeļena Grohovska</cp:lastModifiedBy>
  <cp:lastPrinted>2025-12-15T19:16:24Z</cp:lastPrinted>
  <dcterms:created xsi:type="dcterms:W3CDTF">2018-06-20T11:41:22Z</dcterms:created>
  <dcterms:modified xsi:type="dcterms:W3CDTF">2026-01-30T10:53:09Z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c3b1a5-3e25-4525-b923-a0572e679d8b_Enabled">
    <vt:lpwstr>True</vt:lpwstr>
  </property>
  <property fmtid="{D5CDD505-2E9C-101B-9397-08002B2CF9AE}" pid="3" name="MSIP_Label_65c3b1a5-3e25-4525-b923-a0572e679d8b_SiteId">
    <vt:lpwstr>62a9c2c8-8b09-43be-a7fb-9a87875714a9</vt:lpwstr>
  </property>
  <property fmtid="{D5CDD505-2E9C-101B-9397-08002B2CF9AE}" pid="4" name="MSIP_Label_65c3b1a5-3e25-4525-b923-a0572e679d8b_Ref">
    <vt:lpwstr>https://api.informationprotection.azure.com/api/62a9c2c8-8b09-43be-a7fb-9a87875714a9</vt:lpwstr>
  </property>
  <property fmtid="{D5CDD505-2E9C-101B-9397-08002B2CF9AE}" pid="5" name="MSIP_Label_65c3b1a5-3e25-4525-b923-a0572e679d8b_Owner">
    <vt:lpwstr>jelena.grohovska@fortum.com</vt:lpwstr>
  </property>
  <property fmtid="{D5CDD505-2E9C-101B-9397-08002B2CF9AE}" pid="6" name="MSIP_Label_65c3b1a5-3e25-4525-b923-a0572e679d8b_SetDate">
    <vt:lpwstr>2018-06-26T13:17:18.1000000+03:00</vt:lpwstr>
  </property>
  <property fmtid="{D5CDD505-2E9C-101B-9397-08002B2CF9AE}" pid="7" name="MSIP_Label_65c3b1a5-3e25-4525-b923-a0572e679d8b_Name">
    <vt:lpwstr>Internal</vt:lpwstr>
  </property>
  <property fmtid="{D5CDD505-2E9C-101B-9397-08002B2CF9AE}" pid="8" name="MSIP_Label_65c3b1a5-3e25-4525-b923-a0572e679d8b_Application">
    <vt:lpwstr>Microsoft Azure Information Protection</vt:lpwstr>
  </property>
  <property fmtid="{D5CDD505-2E9C-101B-9397-08002B2CF9AE}" pid="9" name="MSIP_Label_65c3b1a5-3e25-4525-b923-a0572e679d8b_Extended_MSFT_Method">
    <vt:lpwstr>Automatic</vt:lpwstr>
  </property>
  <property fmtid="{D5CDD505-2E9C-101B-9397-08002B2CF9AE}" pid="10" name="MSIP_Label_f45044c0-b6aa-4b2b-834d-65c9ef8bb134_Enabled">
    <vt:lpwstr>True</vt:lpwstr>
  </property>
  <property fmtid="{D5CDD505-2E9C-101B-9397-08002B2CF9AE}" pid="11" name="MSIP_Label_f45044c0-b6aa-4b2b-834d-65c9ef8bb134_SiteId">
    <vt:lpwstr>62a9c2c8-8b09-43be-a7fb-9a87875714a9</vt:lpwstr>
  </property>
  <property fmtid="{D5CDD505-2E9C-101B-9397-08002B2CF9AE}" pid="12" name="MSIP_Label_f45044c0-b6aa-4b2b-834d-65c9ef8bb134_Ref">
    <vt:lpwstr>https://api.informationprotection.azure.com/api/62a9c2c8-8b09-43be-a7fb-9a87875714a9</vt:lpwstr>
  </property>
  <property fmtid="{D5CDD505-2E9C-101B-9397-08002B2CF9AE}" pid="13" name="MSIP_Label_f45044c0-b6aa-4b2b-834d-65c9ef8bb134_Owner">
    <vt:lpwstr>jelena.grohovska@fortum.com</vt:lpwstr>
  </property>
  <property fmtid="{D5CDD505-2E9C-101B-9397-08002B2CF9AE}" pid="14" name="MSIP_Label_f45044c0-b6aa-4b2b-834d-65c9ef8bb134_SetDate">
    <vt:lpwstr>2018-06-26T13:17:18.1010000+03:00</vt:lpwstr>
  </property>
  <property fmtid="{D5CDD505-2E9C-101B-9397-08002B2CF9AE}" pid="15" name="MSIP_Label_f45044c0-b6aa-4b2b-834d-65c9ef8bb134_Name">
    <vt:lpwstr>Hide Visual Label</vt:lpwstr>
  </property>
  <property fmtid="{D5CDD505-2E9C-101B-9397-08002B2CF9AE}" pid="16" name="MSIP_Label_f45044c0-b6aa-4b2b-834d-65c9ef8bb134_Application">
    <vt:lpwstr>Microsoft Azure Information Protection</vt:lpwstr>
  </property>
  <property fmtid="{D5CDD505-2E9C-101B-9397-08002B2CF9AE}" pid="17" name="MSIP_Label_f45044c0-b6aa-4b2b-834d-65c9ef8bb134_Extended_MSFT_Method">
    <vt:lpwstr>Automatic</vt:lpwstr>
  </property>
  <property fmtid="{D5CDD505-2E9C-101B-9397-08002B2CF9AE}" pid="18" name="MSIP_Label_f45044c0-b6aa-4b2b-834d-65c9ef8bb134_Parent">
    <vt:lpwstr>65c3b1a5-3e25-4525-b923-a0572e679d8b</vt:lpwstr>
  </property>
  <property fmtid="{D5CDD505-2E9C-101B-9397-08002B2CF9AE}" pid="19" name="Sensitivity">
    <vt:lpwstr>Internal Hide Visual Label</vt:lpwstr>
  </property>
</Properties>
</file>